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osieMiddleton\Downloads\"/>
    </mc:Choice>
  </mc:AlternateContent>
  <xr:revisionPtr revIDLastSave="0" documentId="8_{9E759FAD-7AAD-4EFA-912C-E5DB76377883}" xr6:coauthVersionLast="47" xr6:coauthVersionMax="47" xr10:uidLastSave="{00000000-0000-0000-0000-000000000000}"/>
  <bookViews>
    <workbookView xWindow="-110" yWindow="-110" windowWidth="19420" windowHeight="10300" activeTab="2" xr2:uid="{5B7FE0FA-11DC-48C7-8543-2545ABC95B83}"/>
  </bookViews>
  <sheets>
    <sheet name="London - full data " sheetId="1" r:id="rId1"/>
    <sheet name="Outside London - full data" sheetId="15" r:id="rId2"/>
    <sheet name="Sources" sheetId="1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I36" i="1"/>
  <c r="I37" i="1" s="1"/>
  <c r="O35" i="1"/>
  <c r="O36" i="1"/>
  <c r="O37" i="1" s="1"/>
  <c r="AD15" i="15" l="1"/>
  <c r="AD16" i="15" s="1"/>
  <c r="AE5" i="15" s="1"/>
  <c r="AD14" i="15"/>
  <c r="AB15" i="15"/>
  <c r="AB16" i="15" s="1"/>
  <c r="AB14" i="15"/>
  <c r="Z15" i="15"/>
  <c r="Z16" i="15" s="1"/>
  <c r="AA4" i="15" s="1"/>
  <c r="Z14" i="15"/>
  <c r="X15" i="15"/>
  <c r="X16" i="15" s="1"/>
  <c r="Y3" i="15" s="1"/>
  <c r="X14" i="15"/>
  <c r="Y6" i="15" s="1"/>
  <c r="V16" i="15"/>
  <c r="W12" i="15" s="1"/>
  <c r="V15" i="15"/>
  <c r="V14" i="15"/>
  <c r="W9" i="15" s="1"/>
  <c r="T15" i="15"/>
  <c r="T14" i="15"/>
  <c r="R15" i="15"/>
  <c r="R14" i="15"/>
  <c r="P15" i="15"/>
  <c r="P14" i="15"/>
  <c r="N15" i="15"/>
  <c r="N16" i="15" s="1"/>
  <c r="O5" i="15" s="1"/>
  <c r="N14" i="15"/>
  <c r="L15" i="15"/>
  <c r="L16" i="15" s="1"/>
  <c r="L14" i="15"/>
  <c r="M3" i="15" s="1"/>
  <c r="H15" i="15"/>
  <c r="H16" i="15" s="1"/>
  <c r="I7" i="15" s="1"/>
  <c r="H14" i="15"/>
  <c r="F15" i="15"/>
  <c r="F16" i="15" s="1"/>
  <c r="G4" i="15" s="1"/>
  <c r="F14" i="15"/>
  <c r="D16" i="15"/>
  <c r="E9" i="15" s="1"/>
  <c r="D15" i="15"/>
  <c r="D14" i="15"/>
  <c r="E5" i="15" s="1"/>
  <c r="AH36" i="1"/>
  <c r="AF36" i="1"/>
  <c r="AD36" i="1"/>
  <c r="AB36" i="1"/>
  <c r="Z36" i="1"/>
  <c r="X36" i="1"/>
  <c r="V36" i="1"/>
  <c r="T36" i="1"/>
  <c r="R36" i="1"/>
  <c r="P36" i="1"/>
  <c r="N36" i="1"/>
  <c r="L36" i="1"/>
  <c r="J36" i="1"/>
  <c r="H36" i="1"/>
  <c r="F36" i="1"/>
  <c r="D36" i="1"/>
  <c r="AH35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F35" i="1"/>
  <c r="D35" i="1"/>
  <c r="B36" i="1"/>
  <c r="B35" i="1"/>
  <c r="B11" i="15"/>
  <c r="AA12" i="15" l="1"/>
  <c r="AC3" i="15"/>
  <c r="AE4" i="15"/>
  <c r="I11" i="15"/>
  <c r="M11" i="15"/>
  <c r="M10" i="15"/>
  <c r="O4" i="15"/>
  <c r="AC11" i="15"/>
  <c r="AC10" i="15"/>
  <c r="G12" i="15"/>
  <c r="P16" i="15"/>
  <c r="Q7" i="15" s="1"/>
  <c r="E3" i="15"/>
  <c r="G7" i="15"/>
  <c r="M8" i="15"/>
  <c r="M9" i="15"/>
  <c r="O6" i="15"/>
  <c r="W10" i="15"/>
  <c r="W11" i="15"/>
  <c r="Y5" i="15"/>
  <c r="AA7" i="15"/>
  <c r="AC8" i="15"/>
  <c r="AC9" i="15"/>
  <c r="AE6" i="15"/>
  <c r="I2" i="15"/>
  <c r="E8" i="15"/>
  <c r="E10" i="15"/>
  <c r="E11" i="15"/>
  <c r="G6" i="15"/>
  <c r="M2" i="15"/>
  <c r="M12" i="15"/>
  <c r="O3" i="15"/>
  <c r="U5" i="15"/>
  <c r="W7" i="15"/>
  <c r="Y8" i="15"/>
  <c r="Y9" i="15"/>
  <c r="AA6" i="15"/>
  <c r="AC2" i="15"/>
  <c r="AC12" i="15"/>
  <c r="AE3" i="15"/>
  <c r="I4" i="15"/>
  <c r="W2" i="15"/>
  <c r="R16" i="15"/>
  <c r="S6" i="15" s="1"/>
  <c r="E2" i="15"/>
  <c r="E12" i="15"/>
  <c r="G5" i="15"/>
  <c r="M7" i="15"/>
  <c r="O8" i="15"/>
  <c r="O9" i="15"/>
  <c r="W4" i="15"/>
  <c r="Y10" i="15"/>
  <c r="Y11" i="15"/>
  <c r="AA5" i="15"/>
  <c r="AC7" i="15"/>
  <c r="AE8" i="15"/>
  <c r="AE9" i="15"/>
  <c r="I6" i="15"/>
  <c r="B14" i="15"/>
  <c r="E7" i="15"/>
  <c r="I12" i="15"/>
  <c r="G3" i="15"/>
  <c r="M4" i="15"/>
  <c r="O10" i="15"/>
  <c r="O11" i="15"/>
  <c r="Q5" i="15"/>
  <c r="W6" i="15"/>
  <c r="Y2" i="15"/>
  <c r="Y12" i="15"/>
  <c r="AA3" i="15"/>
  <c r="AC4" i="15"/>
  <c r="AE10" i="15"/>
  <c r="AE11" i="15"/>
  <c r="I5" i="15"/>
  <c r="B15" i="15"/>
  <c r="B16" i="15" s="1"/>
  <c r="E4" i="15"/>
  <c r="G8" i="15"/>
  <c r="G9" i="15"/>
  <c r="M6" i="15"/>
  <c r="O2" i="15"/>
  <c r="O12" i="15"/>
  <c r="W5" i="15"/>
  <c r="Y7" i="15"/>
  <c r="AA8" i="15"/>
  <c r="AA9" i="15"/>
  <c r="AC6" i="15"/>
  <c r="AE2" i="15"/>
  <c r="AE12" i="15"/>
  <c r="I3" i="15"/>
  <c r="T16" i="15"/>
  <c r="U6" i="15" s="1"/>
  <c r="E6" i="15"/>
  <c r="G10" i="15"/>
  <c r="G11" i="15"/>
  <c r="M5" i="15"/>
  <c r="O7" i="15"/>
  <c r="Q8" i="15"/>
  <c r="Q9" i="15"/>
  <c r="W3" i="15"/>
  <c r="Y4" i="15"/>
  <c r="AA10" i="15"/>
  <c r="AA11" i="15"/>
  <c r="AC5" i="15"/>
  <c r="AE7" i="15"/>
  <c r="I8" i="15"/>
  <c r="I9" i="15"/>
  <c r="G2" i="15"/>
  <c r="Q10" i="15"/>
  <c r="W8" i="15"/>
  <c r="AA2" i="15"/>
  <c r="I10" i="15"/>
  <c r="J37" i="1"/>
  <c r="K4" i="1" s="1"/>
  <c r="H37" i="1"/>
  <c r="T37" i="1"/>
  <c r="U16" i="1" s="1"/>
  <c r="L37" i="1"/>
  <c r="M30" i="1" s="1"/>
  <c r="Z37" i="1"/>
  <c r="AA16" i="1" s="1"/>
  <c r="X37" i="1"/>
  <c r="Y8" i="1" s="1"/>
  <c r="N37" i="1"/>
  <c r="AD37" i="1"/>
  <c r="AE12" i="1" s="1"/>
  <c r="D37" i="1"/>
  <c r="E14" i="1" s="1"/>
  <c r="P37" i="1"/>
  <c r="Q30" i="1" s="1"/>
  <c r="AF37" i="1"/>
  <c r="AG28" i="1" s="1"/>
  <c r="F37" i="1"/>
  <c r="G11" i="1" s="1"/>
  <c r="R37" i="1"/>
  <c r="S12" i="1" s="1"/>
  <c r="AH37" i="1"/>
  <c r="AI14" i="1" s="1"/>
  <c r="AB37" i="1"/>
  <c r="AC28" i="1" s="1"/>
  <c r="B37" i="1"/>
  <c r="C19" i="1" s="1"/>
  <c r="V37" i="1"/>
  <c r="W16" i="1" s="1"/>
  <c r="K9" i="1"/>
  <c r="K10" i="1"/>
  <c r="K31" i="1"/>
  <c r="AC16" i="1"/>
  <c r="AC8" i="1"/>
  <c r="AC30" i="1"/>
  <c r="AC20" i="1"/>
  <c r="U10" i="1"/>
  <c r="U33" i="1"/>
  <c r="U6" i="1"/>
  <c r="U20" i="1"/>
  <c r="U13" i="1"/>
  <c r="U5" i="1"/>
  <c r="U31" i="1"/>
  <c r="U29" i="1"/>
  <c r="U15" i="1"/>
  <c r="U14" i="1"/>
  <c r="U22" i="1"/>
  <c r="U23" i="1"/>
  <c r="U26" i="1"/>
  <c r="U32" i="1"/>
  <c r="S27" i="1"/>
  <c r="U3" i="1"/>
  <c r="U27" i="1"/>
  <c r="U25" i="1"/>
  <c r="U18" i="1"/>
  <c r="AA25" i="1"/>
  <c r="M4" i="1"/>
  <c r="M9" i="1"/>
  <c r="U4" i="1"/>
  <c r="U9" i="1"/>
  <c r="U7" i="1"/>
  <c r="S3" i="15" l="1"/>
  <c r="Q4" i="15"/>
  <c r="S9" i="15"/>
  <c r="Q3" i="15"/>
  <c r="Q6" i="15"/>
  <c r="S10" i="15"/>
  <c r="Q2" i="15"/>
  <c r="S12" i="15"/>
  <c r="S11" i="15"/>
  <c r="U2" i="15"/>
  <c r="U9" i="15"/>
  <c r="S8" i="15"/>
  <c r="S7" i="15"/>
  <c r="S4" i="15"/>
  <c r="S2" i="15"/>
  <c r="AG22" i="1"/>
  <c r="AG7" i="1"/>
  <c r="AG14" i="1"/>
  <c r="AG4" i="1"/>
  <c r="AG24" i="1"/>
  <c r="AG13" i="1"/>
  <c r="AG6" i="1"/>
  <c r="AG15" i="1"/>
  <c r="AG33" i="1"/>
  <c r="AG29" i="1"/>
  <c r="AG21" i="1"/>
  <c r="AG9" i="1"/>
  <c r="AG36" i="1" s="1"/>
  <c r="AG10" i="1"/>
  <c r="U24" i="1"/>
  <c r="AG31" i="1"/>
  <c r="AG17" i="1"/>
  <c r="AG19" i="1"/>
  <c r="G13" i="1"/>
  <c r="AG27" i="1"/>
  <c r="AG20" i="1"/>
  <c r="AG32" i="1"/>
  <c r="AG5" i="1"/>
  <c r="AC10" i="1"/>
  <c r="AG11" i="1"/>
  <c r="AG18" i="1"/>
  <c r="AG26" i="1"/>
  <c r="AC29" i="1"/>
  <c r="AC17" i="1"/>
  <c r="AG30" i="1"/>
  <c r="AG3" i="1"/>
  <c r="AG25" i="1"/>
  <c r="AG23" i="1"/>
  <c r="AG8" i="1"/>
  <c r="E7" i="1"/>
  <c r="G21" i="1"/>
  <c r="G17" i="1"/>
  <c r="Q17" i="1"/>
  <c r="E27" i="1"/>
  <c r="U19" i="1"/>
  <c r="M23" i="1"/>
  <c r="AC25" i="1"/>
  <c r="U17" i="1"/>
  <c r="U2" i="1"/>
  <c r="AE26" i="1"/>
  <c r="Y23" i="1"/>
  <c r="AE29" i="1"/>
  <c r="AE16" i="1"/>
  <c r="M26" i="1"/>
  <c r="M27" i="1"/>
  <c r="AE18" i="1"/>
  <c r="M29" i="1"/>
  <c r="AC18" i="1"/>
  <c r="M20" i="1"/>
  <c r="AC3" i="1"/>
  <c r="M2" i="1"/>
  <c r="AE24" i="1"/>
  <c r="AA30" i="1"/>
  <c r="AA6" i="1"/>
  <c r="U21" i="1"/>
  <c r="U12" i="15"/>
  <c r="U8" i="15"/>
  <c r="C10" i="15"/>
  <c r="C9" i="15"/>
  <c r="C8" i="15"/>
  <c r="C3" i="15"/>
  <c r="C7" i="15"/>
  <c r="C5" i="15"/>
  <c r="C6" i="15"/>
  <c r="C4" i="15"/>
  <c r="C12" i="15"/>
  <c r="C2" i="15"/>
  <c r="U3" i="15"/>
  <c r="U4" i="15"/>
  <c r="S5" i="15"/>
  <c r="C11" i="15"/>
  <c r="U11" i="15"/>
  <c r="Q12" i="15"/>
  <c r="Q11" i="15"/>
  <c r="U7" i="15"/>
  <c r="U10" i="15"/>
  <c r="AG2" i="1"/>
  <c r="AG12" i="1"/>
  <c r="G30" i="1"/>
  <c r="AG16" i="1"/>
  <c r="Q21" i="1"/>
  <c r="U11" i="1"/>
  <c r="S25" i="1"/>
  <c r="G23" i="1"/>
  <c r="S17" i="1"/>
  <c r="Y22" i="1"/>
  <c r="G20" i="1"/>
  <c r="G8" i="1"/>
  <c r="AA27" i="1"/>
  <c r="G9" i="1"/>
  <c r="G25" i="1"/>
  <c r="AA17" i="1"/>
  <c r="Y16" i="1"/>
  <c r="Y11" i="1"/>
  <c r="Y4" i="1"/>
  <c r="G33" i="1"/>
  <c r="AA7" i="1"/>
  <c r="G4" i="1"/>
  <c r="AA26" i="1"/>
  <c r="G27" i="1"/>
  <c r="S15" i="1"/>
  <c r="AA2" i="1"/>
  <c r="Y21" i="1"/>
  <c r="Y9" i="1"/>
  <c r="G15" i="1"/>
  <c r="G16" i="1"/>
  <c r="G3" i="1"/>
  <c r="Y17" i="1"/>
  <c r="Y28" i="1"/>
  <c r="G10" i="1"/>
  <c r="Y2" i="1"/>
  <c r="G32" i="1"/>
  <c r="Y10" i="1"/>
  <c r="S2" i="1"/>
  <c r="G6" i="1"/>
  <c r="Q28" i="1"/>
  <c r="Y32" i="1"/>
  <c r="AA15" i="1"/>
  <c r="G26" i="1"/>
  <c r="AA14" i="1"/>
  <c r="Y6" i="1"/>
  <c r="S20" i="1"/>
  <c r="G12" i="1"/>
  <c r="U8" i="1"/>
  <c r="Q25" i="1"/>
  <c r="M14" i="1"/>
  <c r="S24" i="1"/>
  <c r="M25" i="1"/>
  <c r="S6" i="1"/>
  <c r="Q16" i="1"/>
  <c r="M3" i="1"/>
  <c r="S26" i="1"/>
  <c r="Q15" i="1"/>
  <c r="M33" i="1"/>
  <c r="C9" i="1"/>
  <c r="S4" i="1"/>
  <c r="Q26" i="1"/>
  <c r="M17" i="1"/>
  <c r="Q29" i="1"/>
  <c r="M13" i="1"/>
  <c r="M12" i="1"/>
  <c r="M28" i="1"/>
  <c r="U28" i="1"/>
  <c r="M7" i="1"/>
  <c r="Q23" i="1"/>
  <c r="M15" i="1"/>
  <c r="M21" i="1"/>
  <c r="W3" i="1"/>
  <c r="S8" i="1"/>
  <c r="Q19" i="1"/>
  <c r="U12" i="1"/>
  <c r="AE2" i="1"/>
  <c r="AE23" i="1"/>
  <c r="AI15" i="1"/>
  <c r="AE13" i="1"/>
  <c r="K29" i="1"/>
  <c r="AE9" i="1"/>
  <c r="AA3" i="1"/>
  <c r="AE22" i="1"/>
  <c r="Q22" i="1"/>
  <c r="AE20" i="1"/>
  <c r="AE25" i="1"/>
  <c r="AE31" i="1"/>
  <c r="K33" i="1"/>
  <c r="K7" i="1"/>
  <c r="AE11" i="1"/>
  <c r="S7" i="1"/>
  <c r="AE27" i="1"/>
  <c r="S3" i="1"/>
  <c r="AI26" i="1"/>
  <c r="AI29" i="1"/>
  <c r="AE5" i="1"/>
  <c r="Q31" i="1"/>
  <c r="AA33" i="1"/>
  <c r="S33" i="1"/>
  <c r="AI24" i="1"/>
  <c r="K2" i="1"/>
  <c r="K15" i="1"/>
  <c r="K6" i="1"/>
  <c r="K28" i="1"/>
  <c r="M8" i="1"/>
  <c r="S14" i="1"/>
  <c r="Q10" i="1"/>
  <c r="AE19" i="1"/>
  <c r="AE4" i="1"/>
  <c r="S9" i="1"/>
  <c r="M16" i="1"/>
  <c r="AE3" i="1"/>
  <c r="Q18" i="1"/>
  <c r="G7" i="1"/>
  <c r="AA32" i="1"/>
  <c r="S32" i="1"/>
  <c r="M32" i="1"/>
  <c r="E28" i="1"/>
  <c r="Q5" i="1"/>
  <c r="G22" i="1"/>
  <c r="AE6" i="1"/>
  <c r="AA10" i="1"/>
  <c r="S10" i="1"/>
  <c r="K20" i="1"/>
  <c r="K5" i="1"/>
  <c r="K3" i="1"/>
  <c r="K16" i="1"/>
  <c r="S30" i="1"/>
  <c r="G19" i="1"/>
  <c r="S13" i="1"/>
  <c r="G5" i="1"/>
  <c r="C4" i="1"/>
  <c r="Q24" i="1"/>
  <c r="U30" i="1"/>
  <c r="AE28" i="1"/>
  <c r="AE33" i="1"/>
  <c r="K22" i="1"/>
  <c r="K12" i="1"/>
  <c r="AA9" i="1"/>
  <c r="AA23" i="1"/>
  <c r="S29" i="1"/>
  <c r="AA21" i="1"/>
  <c r="AE30" i="1"/>
  <c r="K24" i="1"/>
  <c r="K25" i="1"/>
  <c r="S11" i="1"/>
  <c r="AA4" i="1"/>
  <c r="Q3" i="1"/>
  <c r="M22" i="1"/>
  <c r="S31" i="1"/>
  <c r="AE17" i="1"/>
  <c r="Q33" i="1"/>
  <c r="AA13" i="1"/>
  <c r="AA19" i="1"/>
  <c r="M19" i="1"/>
  <c r="AE8" i="1"/>
  <c r="AA12" i="1"/>
  <c r="K14" i="1"/>
  <c r="K26" i="1"/>
  <c r="K18" i="1"/>
  <c r="K30" i="1"/>
  <c r="S19" i="1"/>
  <c r="G24" i="1"/>
  <c r="G31" i="1"/>
  <c r="Q2" i="1"/>
  <c r="Q14" i="1"/>
  <c r="K11" i="1"/>
  <c r="AA28" i="1"/>
  <c r="AE7" i="1"/>
  <c r="AE21" i="1"/>
  <c r="K13" i="1"/>
  <c r="K27" i="1"/>
  <c r="K21" i="1"/>
  <c r="Q7" i="1"/>
  <c r="Q27" i="1"/>
  <c r="S23" i="1"/>
  <c r="AA29" i="1"/>
  <c r="AE10" i="1"/>
  <c r="Q6" i="1"/>
  <c r="AA24" i="1"/>
  <c r="AA8" i="1"/>
  <c r="K23" i="1"/>
  <c r="K8" i="1"/>
  <c r="Q20" i="1"/>
  <c r="K19" i="1"/>
  <c r="Q9" i="1"/>
  <c r="AA22" i="1"/>
  <c r="S22" i="1"/>
  <c r="AA31" i="1"/>
  <c r="M31" i="1"/>
  <c r="Q4" i="1"/>
  <c r="AA18" i="1"/>
  <c r="S18" i="1"/>
  <c r="M18" i="1"/>
  <c r="M10" i="1"/>
  <c r="AE32" i="1"/>
  <c r="Q32" i="1"/>
  <c r="G18" i="1"/>
  <c r="M24" i="1"/>
  <c r="AE15" i="1"/>
  <c r="AA5" i="1"/>
  <c r="S5" i="1"/>
  <c r="M5" i="1"/>
  <c r="M6" i="1"/>
  <c r="AE14" i="1"/>
  <c r="AA20" i="1"/>
  <c r="AA11" i="1"/>
  <c r="M11" i="1"/>
  <c r="K17" i="1"/>
  <c r="K32" i="1"/>
  <c r="W22" i="1"/>
  <c r="S21" i="1"/>
  <c r="G14" i="1"/>
  <c r="G29" i="1"/>
  <c r="Q11" i="1"/>
  <c r="Q13" i="1"/>
  <c r="Q12" i="1"/>
  <c r="S28" i="1"/>
  <c r="E6" i="1"/>
  <c r="E26" i="1"/>
  <c r="E5" i="1"/>
  <c r="E2" i="1"/>
  <c r="AC27" i="1"/>
  <c r="AI32" i="1"/>
  <c r="E9" i="1"/>
  <c r="AC15" i="1"/>
  <c r="AC12" i="1"/>
  <c r="Y19" i="1"/>
  <c r="Y33" i="1"/>
  <c r="Y26" i="1"/>
  <c r="Y7" i="1"/>
  <c r="E29" i="1"/>
  <c r="E11" i="1"/>
  <c r="AC2" i="1"/>
  <c r="E24" i="1"/>
  <c r="E20" i="1"/>
  <c r="E8" i="1"/>
  <c r="AC32" i="1"/>
  <c r="AC31" i="1"/>
  <c r="AI10" i="1"/>
  <c r="AI13" i="1"/>
  <c r="Y20" i="1"/>
  <c r="Y5" i="1"/>
  <c r="Y3" i="1"/>
  <c r="E23" i="1"/>
  <c r="E21" i="1"/>
  <c r="AC19" i="1"/>
  <c r="E30" i="1"/>
  <c r="E32" i="1"/>
  <c r="AC7" i="1"/>
  <c r="E12" i="1"/>
  <c r="AC26" i="1"/>
  <c r="AC5" i="1"/>
  <c r="AI17" i="1"/>
  <c r="AC14" i="1"/>
  <c r="Y13" i="1"/>
  <c r="Y31" i="1"/>
  <c r="Y27" i="1"/>
  <c r="E17" i="1"/>
  <c r="E31" i="1"/>
  <c r="AC21" i="1"/>
  <c r="Y12" i="1"/>
  <c r="E13" i="1"/>
  <c r="E3" i="1"/>
  <c r="AC11" i="1"/>
  <c r="AI4" i="1"/>
  <c r="AC9" i="1"/>
  <c r="AC23" i="1"/>
  <c r="E18" i="1"/>
  <c r="AC6" i="1"/>
  <c r="AC24" i="1"/>
  <c r="AI30" i="1"/>
  <c r="C14" i="1"/>
  <c r="Y24" i="1"/>
  <c r="Y29" i="1"/>
  <c r="Y25" i="1"/>
  <c r="E10" i="1"/>
  <c r="E15" i="1"/>
  <c r="S16" i="1"/>
  <c r="E4" i="1"/>
  <c r="E19" i="1"/>
  <c r="E16" i="1"/>
  <c r="AC4" i="1"/>
  <c r="AC22" i="1"/>
  <c r="E25" i="1"/>
  <c r="AC33" i="1"/>
  <c r="AC13" i="1"/>
  <c r="AI8" i="1"/>
  <c r="Y30" i="1"/>
  <c r="Y14" i="1"/>
  <c r="Y15" i="1"/>
  <c r="Y18" i="1"/>
  <c r="C24" i="1"/>
  <c r="C17" i="1"/>
  <c r="E33" i="1"/>
  <c r="E22" i="1"/>
  <c r="AI18" i="1"/>
  <c r="AI23" i="1"/>
  <c r="AI31" i="1"/>
  <c r="AI20" i="1"/>
  <c r="AI12" i="1"/>
  <c r="C6" i="1"/>
  <c r="C23" i="1"/>
  <c r="AI28" i="1"/>
  <c r="AI25" i="1"/>
  <c r="AI22" i="1"/>
  <c r="AI5" i="1"/>
  <c r="AI21" i="1"/>
  <c r="AI16" i="1"/>
  <c r="W28" i="1"/>
  <c r="C5" i="1"/>
  <c r="C16" i="1"/>
  <c r="AI27" i="1"/>
  <c r="AI19" i="1"/>
  <c r="W2" i="1"/>
  <c r="C20" i="1"/>
  <c r="C26" i="1"/>
  <c r="C30" i="1"/>
  <c r="G2" i="1"/>
  <c r="G28" i="1"/>
  <c r="AI3" i="1"/>
  <c r="AI11" i="1"/>
  <c r="W13" i="1"/>
  <c r="C3" i="1"/>
  <c r="C2" i="1"/>
  <c r="AI6" i="1"/>
  <c r="AI2" i="1"/>
  <c r="W10" i="1"/>
  <c r="C18" i="1"/>
  <c r="C21" i="1"/>
  <c r="AI7" i="1"/>
  <c r="AI9" i="1"/>
  <c r="AI33" i="1"/>
  <c r="W5" i="1"/>
  <c r="C31" i="1"/>
  <c r="Q8" i="1"/>
  <c r="W11" i="1"/>
  <c r="W19" i="1"/>
  <c r="W6" i="1"/>
  <c r="W26" i="1"/>
  <c r="W9" i="1"/>
  <c r="C29" i="1"/>
  <c r="C15" i="1"/>
  <c r="C12" i="1"/>
  <c r="W33" i="1"/>
  <c r="W23" i="1"/>
  <c r="W4" i="1"/>
  <c r="W12" i="1"/>
  <c r="W30" i="1"/>
  <c r="W21" i="1"/>
  <c r="W20" i="1"/>
  <c r="W32" i="1"/>
  <c r="W7" i="1"/>
  <c r="C32" i="1"/>
  <c r="C22" i="1"/>
  <c r="C8" i="1"/>
  <c r="W24" i="1"/>
  <c r="W31" i="1"/>
  <c r="W27" i="1"/>
  <c r="W14" i="1"/>
  <c r="W29" i="1"/>
  <c r="W25" i="1"/>
  <c r="C10" i="1"/>
  <c r="C27" i="1"/>
  <c r="C7" i="1"/>
  <c r="C11" i="1"/>
  <c r="C13" i="1"/>
  <c r="W17" i="1"/>
  <c r="W15" i="1"/>
  <c r="W18" i="1"/>
  <c r="C33" i="1"/>
  <c r="C25" i="1"/>
  <c r="C28" i="1"/>
  <c r="W8" i="1"/>
  <c r="AJ2" i="1" l="1"/>
  <c r="AG35" i="1"/>
  <c r="AJ13" i="1"/>
  <c r="AJ22" i="1"/>
  <c r="AJ25" i="1"/>
  <c r="AJ6" i="1"/>
  <c r="AJ19" i="1"/>
  <c r="AJ14" i="1"/>
  <c r="AJ4" i="1"/>
  <c r="AJ3" i="1"/>
  <c r="AJ23" i="1"/>
  <c r="AJ18" i="1"/>
  <c r="AJ28" i="1"/>
  <c r="AJ29" i="1"/>
  <c r="AJ33" i="1"/>
  <c r="AJ17" i="1"/>
  <c r="U35" i="1"/>
  <c r="AJ26" i="1"/>
  <c r="AJ15" i="1"/>
  <c r="AJ27" i="1"/>
  <c r="AJ10" i="1"/>
  <c r="AJ30" i="1"/>
  <c r="AJ32" i="1"/>
  <c r="AJ12" i="1"/>
  <c r="AJ7" i="1"/>
  <c r="AJ21" i="1"/>
  <c r="AJ20" i="1"/>
  <c r="AJ24" i="1"/>
  <c r="AJ8" i="1"/>
  <c r="AJ9" i="1"/>
  <c r="AJ16" i="1"/>
  <c r="AJ11" i="1"/>
  <c r="AJ5" i="1"/>
  <c r="AJ31" i="1"/>
  <c r="AA35" i="1"/>
  <c r="S36" i="1"/>
  <c r="AE36" i="1"/>
  <c r="Q36" i="1"/>
  <c r="G35" i="1"/>
  <c r="AE35" i="1"/>
  <c r="K36" i="1"/>
  <c r="Q35" i="1"/>
  <c r="M36" i="1"/>
  <c r="S35" i="1"/>
  <c r="G36" i="1"/>
  <c r="AG37" i="1"/>
  <c r="AA36" i="1"/>
  <c r="U36" i="1"/>
  <c r="U37" i="1" s="1"/>
  <c r="M35" i="1"/>
  <c r="K35" i="1"/>
  <c r="AC36" i="1"/>
  <c r="E36" i="1"/>
  <c r="Y36" i="1"/>
  <c r="Y35" i="1"/>
  <c r="AC35" i="1"/>
  <c r="E35" i="1"/>
  <c r="C35" i="1"/>
  <c r="C36" i="1"/>
  <c r="C37" i="1" s="1"/>
  <c r="W36" i="1"/>
  <c r="W35" i="1"/>
  <c r="S37" i="1" l="1"/>
  <c r="Q37" i="1"/>
  <c r="AE37" i="1"/>
  <c r="AC37" i="1"/>
  <c r="AA37" i="1"/>
  <c r="E37" i="1"/>
  <c r="G37" i="1"/>
  <c r="K37" i="1"/>
  <c r="M37" i="1"/>
  <c r="Y37" i="1"/>
  <c r="W37" i="1"/>
</calcChain>
</file>

<file path=xl/sharedStrings.xml><?xml version="1.0" encoding="utf-8"?>
<sst xmlns="http://schemas.openxmlformats.org/spreadsheetml/2006/main" count="167" uniqueCount="131">
  <si>
    <t xml:space="preserve">Data point </t>
  </si>
  <si>
    <t>Source</t>
  </si>
  <si>
    <t xml:space="preserve">Notes </t>
  </si>
  <si>
    <t>Crime rate</t>
  </si>
  <si>
    <t>https://crimerate.co.uk/</t>
  </si>
  <si>
    <t xml:space="preserve">If data not available from crimerate.co.uk, external data sources used such as online articles and Wikipedia. </t>
  </si>
  <si>
    <t>Total yearly amount of sunshine (hours)</t>
  </si>
  <si>
    <t>https://weather-and-climate.com/</t>
  </si>
  <si>
    <t xml:space="preserve">Air quality </t>
  </si>
  <si>
    <t>https://uk-air.defra.gov.uk/</t>
  </si>
  <si>
    <t xml:space="preserve">Had to use a specific postcode, so have used post codes of train or tube stations. Data correct as of 21/01/2024. </t>
  </si>
  <si>
    <t>https://www.dayoutwiththekids.co.uk/</t>
  </si>
  <si>
    <t xml:space="preserve">Parks &amp; Playgrounds </t>
  </si>
  <si>
    <t>Council websites and https://www.dayoutwiththekids.co.uk/</t>
  </si>
  <si>
    <t>Cost of living</t>
  </si>
  <si>
    <t>https://www.numbeo.com/cost-of-living</t>
  </si>
  <si>
    <t xml:space="preserve">For locations with no data available, an average has been taken. </t>
  </si>
  <si>
    <t xml:space="preserve">Average monthly rent </t>
  </si>
  <si>
    <t xml:space="preserve">https://www.ons.gov.uk/ and https://www.home.co.uk/for_rent/belfast/current_rents?location=belfast for Belfast </t>
  </si>
  <si>
    <t xml:space="preserve">Number of secondary schools </t>
  </si>
  <si>
    <t>https://admissionsday.co.uk</t>
  </si>
  <si>
    <t>Number of primary schools</t>
  </si>
  <si>
    <t>https://admissionsday.co.uk, council websites and Google Maps</t>
  </si>
  <si>
    <t xml:space="preserve">Number of libraries </t>
  </si>
  <si>
    <t xml:space="preserve">Local council websites and Google Maps </t>
  </si>
  <si>
    <t xml:space="preserve">Number of open jobs </t>
  </si>
  <si>
    <t>https://www.totaljobs.com/</t>
  </si>
  <si>
    <t xml:space="preserve">Jobs within max 5 miles of the area with a min salary of £40K p/a </t>
  </si>
  <si>
    <t xml:space="preserve">Leisure facilities </t>
  </si>
  <si>
    <t>Google Maps</t>
  </si>
  <si>
    <t xml:space="preserve">Childcare costs </t>
  </si>
  <si>
    <t xml:space="preserve">https://www.nesta.org.uk (https://public.flourish.studio/visualisation/12958116/) - data from the 6th March, 2023 AND local gov websites </t>
  </si>
  <si>
    <t xml:space="preserve">By local authority, cost per hour for a two year old </t>
  </si>
  <si>
    <t xml:space="preserve">London Borough </t>
  </si>
  <si>
    <t xml:space="preserve">Crime rate </t>
  </si>
  <si>
    <t xml:space="preserve">Number of indoor and soft play areas </t>
  </si>
  <si>
    <t xml:space="preserve">Cost of living </t>
  </si>
  <si>
    <t xml:space="preserve">Number of primary schools </t>
  </si>
  <si>
    <t xml:space="preserve">Childcare costs per hour (£) </t>
  </si>
  <si>
    <t>Barking and Dagenham</t>
  </si>
  <si>
    <t>Barnet</t>
  </si>
  <si>
    <t>Bexley</t>
  </si>
  <si>
    <t>Brent</t>
  </si>
  <si>
    <t>Bromley</t>
  </si>
  <si>
    <t>Camden</t>
  </si>
  <si>
    <t>City of Westminster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</si>
  <si>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</si>
  <si>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</si>
  <si>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</si>
  <si>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</si>
  <si>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</si>
  <si>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</si>
  <si>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</si>
  <si>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</si>
  <si>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</si>
  <si>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</si>
  <si>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</si>
  <si>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</si>
  <si>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</si>
  <si>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</si>
  <si>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</si>
  <si>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</si>
  <si>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</si>
  <si>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</si>
  <si>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</si>
  <si>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</si>
  <si>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</si>
  <si>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</si>
  <si>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</si>
  <si>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</si>
  <si>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</si>
  <si>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 xml:space="preserve">City </t>
  </si>
  <si>
    <t xml:space="preserve">Average monthly rent (£) </t>
  </si>
  <si>
    <t>Childcare costs (per hour £)</t>
  </si>
  <si>
    <t>Glasgow</t>
  </si>
  <si>
    <t>Belfast</t>
  </si>
  <si>
    <t xml:space="preserve">Newcastle </t>
  </si>
  <si>
    <t>Manchester</t>
  </si>
  <si>
    <t>Liverpool</t>
  </si>
  <si>
    <t>Leeds</t>
  </si>
  <si>
    <t xml:space="preserve">Sheffield </t>
  </si>
  <si>
    <t>Nottingham</t>
  </si>
  <si>
    <t>Birmingham</t>
  </si>
  <si>
    <t>Cardiff</t>
  </si>
  <si>
    <t>Bristol</t>
  </si>
  <si>
    <t xml:space="preserve">Council tax costs </t>
  </si>
  <si>
    <t xml:space="preserve">Council tax cost p/a - 2024/25 </t>
  </si>
  <si>
    <t xml:space="preserve">London (https://www.standard.co.uk/news/london/council-tax-london-boroughs-2025-26-bills-b1206127.html) </t>
  </si>
  <si>
    <t>https://www.tripadvisor.co.uk/</t>
  </si>
  <si>
    <t xml:space="preserve">Number of child-friendly places to eat </t>
  </si>
  <si>
    <t xml:space="preserve">Filtered by child-friendly </t>
  </si>
  <si>
    <t xml:space="preserve">Council tax cost p/a - 2023/24 </t>
  </si>
  <si>
    <t xml:space="preserve">Outside London (https://www.themoneypages.com/household-bills/how-much-will-my-council-tax-increase-in-april/) and for cities not included, council websites </t>
  </si>
  <si>
    <t xml:space="preserve">*Belfast charges differently so average of whole of UK used instead </t>
  </si>
  <si>
    <t>Average monthly rent of 2-3 bed (£)</t>
  </si>
  <si>
    <t>Average Gross Household Income</t>
  </si>
  <si>
    <t>Housing Affordability Index</t>
  </si>
  <si>
    <t>% Public Greenspace</t>
  </si>
  <si>
    <t>min</t>
  </si>
  <si>
    <t>max</t>
  </si>
  <si>
    <t>diff</t>
  </si>
  <si>
    <t>Total</t>
  </si>
  <si>
    <t>Rank</t>
  </si>
  <si>
    <t>Column5</t>
  </si>
  <si>
    <t xml:space="preserve">Number of child-friendly places to eat - score </t>
  </si>
  <si>
    <t xml:space="preserve">Crime rate - score </t>
  </si>
  <si>
    <t xml:space="preserve">Average monthly rent of 2-3 bed (£) - score </t>
  </si>
  <si>
    <t xml:space="preserve">Number of secondary schools - score </t>
  </si>
  <si>
    <t xml:space="preserve">Number of primary schools - score </t>
  </si>
  <si>
    <t xml:space="preserve">Number of libraries - score </t>
  </si>
  <si>
    <t xml:space="preserve">Childcare costs per hour (£) - score </t>
  </si>
  <si>
    <t xml:space="preserve">Average Gross Household Income - score </t>
  </si>
  <si>
    <t xml:space="preserve">Housing Affordability Index - score </t>
  </si>
  <si>
    <t xml:space="preserve">Council tax cost p/a - 2023/24 - score </t>
  </si>
  <si>
    <t xml:space="preserve">Total yearly amount of sunshine (hours) - score </t>
  </si>
  <si>
    <t xml:space="preserve">Number of indoor and soft play areas - score </t>
  </si>
  <si>
    <t xml:space="preserve">Parks &amp; Playgrounds - score </t>
  </si>
  <si>
    <t xml:space="preserve">Cost of living - score </t>
  </si>
  <si>
    <t xml:space="preserve">Average monthly rent (£) - score </t>
  </si>
  <si>
    <t xml:space="preserve">Number of open jobs - score </t>
  </si>
  <si>
    <t xml:space="preserve">Leisure facilities - score </t>
  </si>
  <si>
    <t xml:space="preserve">Childcare costs (per hour £) - score </t>
  </si>
  <si>
    <t xml:space="preserve">Council tax cost p/a - 2024/25 - score </t>
  </si>
  <si>
    <t xml:space="preserve">Total yearly amount of sunshine (hours)2- score </t>
  </si>
  <si>
    <t xml:space="preserve">% Public Greenspaces - score  </t>
  </si>
  <si>
    <t xml:space="preserve">London - average rent for 2 - 3 bedroom house </t>
  </si>
  <si>
    <t xml:space="preserve">Income per London borough </t>
  </si>
  <si>
    <t xml:space="preserve">Public green space (London) per borough </t>
  </si>
  <si>
    <t>https://www.rightmove.co.uk/</t>
  </si>
  <si>
    <t>https://trustforlondon.org.uk/data/gross-household-income-for-small-areas-msoa/</t>
  </si>
  <si>
    <t>https://www.london.gov.uk/sites/default/files/11015viv_nca_by_borough.pdf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</si>
</sst>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2" borderId="0" xfId="0" applyFill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0" fontId="2" fillId="0" borderId="0" xfId="1" applyFont="1" applyAlignment="1">
      <alignment wrapText="1"/>
    </xf>
    <xf numFmtId="0" fontId="4" fillId="0" borderId="0" xfId="0" applyFont="1"/>
    <xf numFmtId="0" fontId="2" fillId="0" borderId="0" xfId="1" applyFont="1"/>
    <xf numFmtId="0" fontId="0" fillId="0" borderId="0" xfId="0" applyAlignment="1">
      <alignment horizontal="right"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4" fillId="0" borderId="0" xfId="0" applyNumberFormat="1" applyFont="1"/>
    <xf numFmtId="164" fontId="0" fillId="0" borderId="0" xfId="0" applyNumberFormat="1" applyAlignment="1">
      <alignment wrapText="1"/>
    </xf>
  </cellXfs>
  <cellStyles count="2">
    <cellStyle name="Hyperlink" xfId="1" builtinId="8"/>
    <cellStyle name="Normal" xfId="0" builtinId="0"/>
  </cellStyles>
  <dxfs count="5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164" formatCode="&quot;£&quot;#,##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3" formatCode="#,##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3" formatCode="#,##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A52616-0E34-4FB6-84BB-3777C32016C9}" name="Table4" displayName="Table4" ref="A1:AK33" totalsRowShown="0" headerRowDxfId="0" dataDxfId="55">
  <autoFilter ref="A1:AK33" xr:uid="{D8A52616-0E34-4FB6-84BB-3777C32016C9}"/>
  <sortState xmlns:xlrd2="http://schemas.microsoft.com/office/spreadsheetml/2017/richdata2" ref="A2:AK33">
    <sortCondition descending="1" ref="AJ1:AJ33"/>
  </sortState>
  <tableColumns count="37">
    <tableColumn id="1" xr3:uid="{705A67B4-8B86-41B7-B8DE-20E98DF02653}" name="London Borough " dataDxfId="54"/>
    <tableColumn id="2" xr3:uid="{CCA036F5-E46A-41A3-89F2-6BF515984F1B}" name="Council tax cost p/a - 2024/25 " dataDxfId="53"/>
    <tableColumn id="3" xr3:uid="{15823C22-34CB-4E24-83EE-A62FF51C0E91}" name="Council tax cost p/a - 2024/25 - score " dataDxfId="52">
      <calculatedColumnFormula>1-(B2-$B$35)/$B$37</calculatedColumnFormula>
    </tableColumn>
    <tableColumn id="4" xr3:uid="{1C1122D7-0FC3-4280-B942-BFB51539A2BB}" name="Number of child-friendly places to eat " dataDxfId="51"/>
    <tableColumn id="5" xr3:uid="{196EBD3C-296E-46DA-ACCF-8F66E78BAAFF}" name="Number of child-friendly places to eat - score " dataDxfId="50">
      <calculatedColumnFormula>(D2-$D$35)/$D$37</calculatedColumnFormula>
    </tableColumn>
    <tableColumn id="6" xr3:uid="{19DA620B-29DA-4487-AC15-00E0462E89A5}" name="Crime rate " dataDxfId="49"/>
    <tableColumn id="7" xr3:uid="{803A61F1-5403-46E5-9B6A-1C3A57F11F95}" name="Crime rate - score " dataDxfId="48">
      <calculatedColumnFormula>1-(F2-$F$35)/$F$37</calculatedColumnFormula>
    </tableColumn>
    <tableColumn id="8" xr3:uid="{30399539-1ECC-450B-833B-1E63EE3495E1}" name="Total yearly amount of sunshine (hours)" dataDxfId="47"/>
    <tableColumn id="9" xr3:uid="{C81BDBE9-DB1D-4E47-8617-02E0BA61AE95}" name="Total yearly amount of sunshine (hours)2- score " dataDxfId="2"/>
    <tableColumn id="10" xr3:uid="{A1D79246-C90E-4066-B562-2AA02F9D9A6C}" name="Number of indoor and soft play areas " dataDxfId="46"/>
    <tableColumn id="11" xr3:uid="{1F4FD8B3-25CF-445C-B1B9-CB81C40D55FE}" name="Number of indoor and soft play areas - score " dataDxfId="45">
      <calculatedColumnFormula>(J2-$J$35)/$J$37</calculatedColumnFormula>
    </tableColumn>
    <tableColumn id="12" xr3:uid="{9DDFD21B-9E1D-4D81-B6DF-24FFBCB6FD57}" name="Parks &amp; Playgrounds " dataDxfId="44"/>
    <tableColumn id="13" xr3:uid="{4A36256B-652B-455F-90FC-F1C44EC3AFFF}" name="Parks &amp; Playgrounds - score " dataDxfId="43">
      <calculatedColumnFormula>(L2-$L$35)/$L$37</calculatedColumnFormula>
    </tableColumn>
    <tableColumn id="14" xr3:uid="{06F5D326-CD40-4CEF-8E94-CF6F06F87011}" name="Cost of living " dataDxfId="42"/>
    <tableColumn id="15" xr3:uid="{537DBC83-DC75-40BC-BE58-89346F627BE6}" name="Cost of living - score " dataDxfId="1"/>
    <tableColumn id="16" xr3:uid="{5815077E-918A-4416-A518-5F8F94309902}" name="Average monthly rent of 2-3 bed (£)" dataDxfId="41"/>
    <tableColumn id="17" xr3:uid="{FA412B97-73D9-4083-BDB3-07DE9AC9216E}" name="Average monthly rent of 2-3 bed (£) - score " dataDxfId="40">
      <calculatedColumnFormula>1-(P2-$P$35)/$P$37</calculatedColumnFormula>
    </tableColumn>
    <tableColumn id="18" xr3:uid="{5C59C526-BE75-41D3-BE0A-AFF676922954}" name="Number of secondary schools "/>
    <tableColumn id="19" xr3:uid="{7C99E483-73F9-4FC4-BE47-2361315CC374}" name="Number of secondary schools - score " dataDxfId="39">
      <calculatedColumnFormula>(R2-$R$35)/$R$37</calculatedColumnFormula>
    </tableColumn>
    <tableColumn id="20" xr3:uid="{38ABB885-8069-46B8-A83B-65CACB9610C8}" name="Number of primary schools "/>
    <tableColumn id="21" xr3:uid="{286F4FF5-8A85-4873-9E34-448E3F31C445}" name="Number of primary schools - score " dataDxfId="38">
      <calculatedColumnFormula>(T2-$T$35)/$T$37</calculatedColumnFormula>
    </tableColumn>
    <tableColumn id="22" xr3:uid="{574C594B-1030-4D9D-8445-70AA88E09F30}" name="Number of libraries "/>
    <tableColumn id="23" xr3:uid="{D272665A-8012-42B9-A2B1-865276B6C3DB}" name="Number of libraries - score " dataDxfId="37">
      <calculatedColumnFormula>(V2-$V$35)/$V$37</calculatedColumnFormula>
    </tableColumn>
    <tableColumn id="24" xr3:uid="{8A3FFE57-C253-464E-9539-ACB115A87B55}" name="Number of open jobs " dataDxfId="36"/>
    <tableColumn id="25" xr3:uid="{67406A20-B700-4963-B19A-0E5205361AB8}" name="Number of open jobs - score " dataDxfId="35">
      <calculatedColumnFormula>(X2-$X$35)/$X$37</calculatedColumnFormula>
    </tableColumn>
    <tableColumn id="26" xr3:uid="{5E9BCF74-6081-4F60-8946-77C3CCC468B0}" name="Leisure facilities " dataDxfId="34"/>
    <tableColumn id="27" xr3:uid="{CFD5970B-C89E-4942-AFEC-F312E495E4C9}" name="Leisure facilities - score " dataDxfId="33">
      <calculatedColumnFormula>(Z2-$Z$35)/$Z$37</calculatedColumnFormula>
    </tableColumn>
    <tableColumn id="28" xr3:uid="{9476A2A6-991C-4D0A-91FC-1A715ED2847B}" name="Childcare costs per hour (£) " dataDxfId="32"/>
    <tableColumn id="29" xr3:uid="{FFCBAD7C-1E9A-47A1-A051-4483DE89A4CD}" name="Childcare costs per hour (£) - score " dataDxfId="31">
      <calculatedColumnFormula>1-(AB2-$AB$35)/$AB$37</calculatedColumnFormula>
    </tableColumn>
    <tableColumn id="30" xr3:uid="{92DE8EDE-A2F2-44A4-A5D8-9FD24A0C36AC}" name="Average Gross Household Income" dataDxfId="30"/>
    <tableColumn id="31" xr3:uid="{BAF65697-BFC4-421B-9367-A6E246BD697A}" name="Average Gross Household Income - score " dataDxfId="29">
      <calculatedColumnFormula>(AD2-$AD$35)/$AD$37</calculatedColumnFormula>
    </tableColumn>
    <tableColumn id="32" xr3:uid="{8058C9C1-B757-40DC-8BBC-9C74279D6D8F}" name="Housing Affordability Index" dataDxfId="28"/>
    <tableColumn id="33" xr3:uid="{852FE303-5D69-47B7-8244-B31C7E735023}" name="Housing Affordability Index - score " dataDxfId="27">
      <calculatedColumnFormula>(AF2-$AF$35)/$AF$37</calculatedColumnFormula>
    </tableColumn>
    <tableColumn id="34" xr3:uid="{71462077-5E9B-4CA6-BCA7-79C038BEFC72}" name="% Public Greenspace" dataDxfId="26"/>
    <tableColumn id="35" xr3:uid="{A923A3C7-C94C-478A-B7B6-CFD19A7FD7C0}" name="% Public Greenspaces - score  " dataDxfId="25">
      <calculatedColumnFormula>(AH2-$AH$35)/$AH$37</calculatedColumnFormula>
    </tableColumn>
    <tableColumn id="36" xr3:uid="{EBCC166F-BBB1-426D-AB73-31E607334B9F}" name="Total" dataDxfId="24">
      <calculatedColumnFormula>AI2+AC2+AA2+Y2+W2+U2+S2+Q2+O2+M2+K2+I2+G2+E2</calculatedColumnFormula>
    </tableColumn>
    <tableColumn id="37" xr3:uid="{D3B97FB1-DD1E-4016-AA0D-475E0300CABB}" name="Rank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86F6D5-0579-471A-8BFD-A431B621D763}" name="Table5" displayName="Table5" ref="A1:AG12" totalsRowShown="0" headerRowDxfId="22">
  <autoFilter ref="A1:AG12" xr:uid="{1C86F6D5-0579-471A-8BFD-A431B621D763}"/>
  <sortState xmlns:xlrd2="http://schemas.microsoft.com/office/spreadsheetml/2017/richdata2" ref="A2:AG12">
    <sortCondition descending="1" ref="AF1:AF12"/>
  </sortState>
  <tableColumns count="33">
    <tableColumn id="1" xr3:uid="{9A301AC8-33B4-4668-AF90-8B7EA5126724}" name="City "/>
    <tableColumn id="2" xr3:uid="{6070E32D-2664-4266-91A6-51906E1EEFC8}" name="Council tax cost p/a - 2023/24 " dataDxfId="21"/>
    <tableColumn id="3" xr3:uid="{12D2A2BC-11EA-4398-9950-2147311494CD}" name="Council tax cost p/a - 2023/24 - score " dataDxfId="20">
      <calculatedColumnFormula>1-(Table5[[#This Row],[Council tax cost p/a - 2023/24 ]]-$B$14)/$B$16</calculatedColumnFormula>
    </tableColumn>
    <tableColumn id="4" xr3:uid="{D6E7C649-7B80-468A-8D90-363C1A418022}" name="Number of child-friendly places to eat "/>
    <tableColumn id="5" xr3:uid="{97F01751-2F40-4783-8C52-8D5E6C9D77E8}" name="Number of child-friendly places to eat - score " dataDxfId="19">
      <calculatedColumnFormula>(D2-$D$14)/$D$16</calculatedColumnFormula>
    </tableColumn>
    <tableColumn id="6" xr3:uid="{CEBF9623-9E6D-494C-968D-85F32136619F}" name="Crime rate "/>
    <tableColumn id="7" xr3:uid="{92A518B8-3A86-4CA3-8524-65CC22F1375F}" name="Crime rate - score " dataDxfId="18">
      <calculatedColumnFormula>1-(F2-$F$14)/$F$16</calculatedColumnFormula>
    </tableColumn>
    <tableColumn id="8" xr3:uid="{186FC969-16AF-4577-AE8A-E8248EA4BD50}" name="Total yearly amount of sunshine (hours)" dataDxfId="17"/>
    <tableColumn id="9" xr3:uid="{996BCE13-00FF-491C-8DF6-F03121B0866E}" name="Total yearly amount of sunshine (hours) - score " dataDxfId="16">
      <calculatedColumnFormula>(H2-$H$14)/$H$16</calculatedColumnFormula>
    </tableColumn>
    <tableColumn id="10" xr3:uid="{324ED0E7-EA7F-4E31-A141-035D1609B5DB}" name="Air quality "/>
    <tableColumn id="11" xr3:uid="{864F345E-5909-4361-A573-4189C71010A3}" name="Column5" dataDxfId="15"/>
    <tableColumn id="12" xr3:uid="{53255E0F-88FB-45B3-B64F-55DF0191AED5}" name="Number of indoor and soft play areas "/>
    <tableColumn id="13" xr3:uid="{16B5F153-23F8-48DB-85CC-F28D08D05BED}" name="Number of indoor and soft play areas - score " dataDxfId="14">
      <calculatedColumnFormula>(L2-$L$14)/$L$16</calculatedColumnFormula>
    </tableColumn>
    <tableColumn id="14" xr3:uid="{9ECC4C1F-2EC9-4E04-B331-DFCCB1A98838}" name="Parks &amp; Playgrounds "/>
    <tableColumn id="15" xr3:uid="{F74197B8-05D7-4A23-AC56-7F98FD3C2140}" name="Parks &amp; Playgrounds - score " dataDxfId="13">
      <calculatedColumnFormula>(N2-$N$14)/$N$16</calculatedColumnFormula>
    </tableColumn>
    <tableColumn id="16" xr3:uid="{25FB6A30-7A11-4C68-95C7-5FC00C0D8C80}" name="Cost of living "/>
    <tableColumn id="17" xr3:uid="{B465911F-3FBC-4B63-8600-AB53CB44581E}" name="Cost of living - score " dataDxfId="12">
      <calculatedColumnFormula>1-(P2-$P$14)/$P$16</calculatedColumnFormula>
    </tableColumn>
    <tableColumn id="18" xr3:uid="{2421ED32-BAFC-44B7-B1D0-9013AED0AD12}" name="Average monthly rent (£) " dataDxfId="11"/>
    <tableColumn id="19" xr3:uid="{5E0519EE-4522-4B04-A26C-DAACBFDDBBB8}" name="Average monthly rent (£) - score " dataDxfId="10">
      <calculatedColumnFormula>1-(R2-$R$14)/$R$16</calculatedColumnFormula>
    </tableColumn>
    <tableColumn id="20" xr3:uid="{07FCA3CB-2075-475E-BDE7-0BA546F2E19E}" name="Number of secondary schools "/>
    <tableColumn id="21" xr3:uid="{F41F7C9A-6717-42A7-BDDD-9AE240527F29}" name="Number of secondary schools - score " dataDxfId="9">
      <calculatedColumnFormula>(T2-$T$14)/$T$16</calculatedColumnFormula>
    </tableColumn>
    <tableColumn id="22" xr3:uid="{8169FA76-B419-4813-9D59-2E391B3D52C7}" name="Number of primary schools "/>
    <tableColumn id="23" xr3:uid="{B9708730-DDED-49A8-A270-B1893657471B}" name="Number of primary schools - score " dataDxfId="8">
      <calculatedColumnFormula>(V2-$V$14)/$V$16</calculatedColumnFormula>
    </tableColumn>
    <tableColumn id="24" xr3:uid="{572CB9B0-87D4-40C5-8C9F-B763BECB3E5D}" name="Number of libraries "/>
    <tableColumn id="25" xr3:uid="{C9D238B2-E32D-42AB-A375-B3F18C0182C0}" name="Number of libraries - score " dataDxfId="7">
      <calculatedColumnFormula>(X2-$X$14)/$X$16</calculatedColumnFormula>
    </tableColumn>
    <tableColumn id="26" xr3:uid="{6693BA2D-21B2-44A9-A37B-E02D5298E5B0}" name="Number of open jobs "/>
    <tableColumn id="27" xr3:uid="{D9FF3C26-7B97-4250-95C8-ABE080FA2E39}" name="Number of open jobs - score " dataDxfId="6">
      <calculatedColumnFormula>(Z2-$Z$14)/$Z$16</calculatedColumnFormula>
    </tableColumn>
    <tableColumn id="28" xr3:uid="{F8D89BDE-3F8E-48D5-92EB-9D9FB891670B}" name="Leisure facilities "/>
    <tableColumn id="29" xr3:uid="{FB370D11-12C8-4290-90D3-B5E06122E350}" name="Leisure facilities - score " dataDxfId="5">
      <calculatedColumnFormula>(AB2-$AB$14)/$AB$16</calculatedColumnFormula>
    </tableColumn>
    <tableColumn id="30" xr3:uid="{3E13710C-46FC-4F50-9395-DD5ECF46DFA2}" name="Childcare costs (per hour £)"/>
    <tableColumn id="31" xr3:uid="{07F41F30-0EF3-4B1D-8AA1-FCDC05450911}" name="Childcare costs (per hour £) - score " dataDxfId="4">
      <calculatedColumnFormula>1-(AD2-$AD$14)/$AD$16</calculatedColumnFormula>
    </tableColumn>
    <tableColumn id="32" xr3:uid="{C9549C2D-3EF0-4F9A-AF88-5191D60A7374}" name="Total" dataDxfId="3"/>
    <tableColumn id="33" xr3:uid="{7C224013-457E-489E-AFF3-42CB566F8970}" name="Ra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rimerate.co.uk/" TargetMode="External"/><Relationship Id="rId2" Type="http://schemas.openxmlformats.org/officeDocument/2006/relationships/hyperlink" Target="https://weather-and-climate.com/" TargetMode="External"/><Relationship Id="rId1" Type="http://schemas.openxmlformats.org/officeDocument/2006/relationships/hyperlink" Target="https://www.numbeo.com/cost-of-living" TargetMode="External"/><Relationship Id="rId5" Type="http://schemas.openxmlformats.org/officeDocument/2006/relationships/hyperlink" Target="https://www.dayoutwiththekids.co.uk/" TargetMode="External"/><Relationship Id="rId4" Type="http://schemas.openxmlformats.org/officeDocument/2006/relationships/hyperlink" Target="https://uk-air.defra.gov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779C-71B3-4203-8799-B07233663586}">
  <dimension ref="A1:AK37"/>
  <sheetViews>
    <sheetView workbookViewId="0">
      <pane ySplit="1" topLeftCell="A25" activePane="bottomLeft" state="frozen"/>
      <selection pane="bottomLeft" activeCell="A38" sqref="A38"/>
    </sheetView>
  </sheetViews>
  <sheetFormatPr defaultColWidth="8.7265625" defaultRowHeight="14.5" x14ac:dyDescent="0.35"/>
  <cols>
    <col min="1" max="1" width="26.36328125" style="3" customWidth="1"/>
    <col min="2" max="2" width="28.08984375" style="3" customWidth="1"/>
    <col min="3" max="3" width="24" style="3" customWidth="1"/>
    <col min="4" max="4" width="35.7265625" style="3" customWidth="1"/>
    <col min="5" max="5" width="24" style="3" customWidth="1"/>
    <col min="6" max="7" width="23.81640625" style="3" customWidth="1"/>
    <col min="8" max="8" width="36.81640625" style="3" customWidth="1"/>
    <col min="9" max="9" width="11.453125" style="3" hidden="1" customWidth="1"/>
    <col min="10" max="10" width="34.81640625" style="3" customWidth="1"/>
    <col min="11" max="11" width="10.6328125" style="3" customWidth="1"/>
    <col min="12" max="12" width="20.453125" style="3" customWidth="1"/>
    <col min="13" max="13" width="11.7265625" style="3" customWidth="1"/>
    <col min="14" max="14" width="14.6328125" style="3" customWidth="1"/>
    <col min="15" max="15" width="11.7265625" style="3" hidden="1" customWidth="1"/>
    <col min="16" max="16" width="32.7265625" style="3" customWidth="1"/>
    <col min="17" max="17" width="15.453125" style="3" customWidth="1"/>
    <col min="18" max="18" width="28.81640625" style="3" customWidth="1"/>
    <col min="19" max="19" width="21.1796875" style="3" customWidth="1"/>
    <col min="20" max="20" width="26.453125" style="3" customWidth="1"/>
    <col min="21" max="21" width="21.1796875" style="3" customWidth="1"/>
    <col min="22" max="22" width="19.90625" style="3" customWidth="1"/>
    <col min="23" max="23" width="11.6328125" style="3" customWidth="1"/>
    <col min="24" max="24" width="21.26953125" style="3" customWidth="1"/>
    <col min="25" max="25" width="11.6328125" style="3" customWidth="1"/>
    <col min="26" max="26" width="17.6328125" style="3" customWidth="1"/>
    <col min="27" max="27" width="16.54296875" style="3" customWidth="1"/>
    <col min="28" max="28" width="27" style="3" customWidth="1"/>
    <col min="29" max="29" width="12.81640625" style="3" customWidth="1"/>
    <col min="30" max="30" width="31.81640625" style="3" customWidth="1"/>
    <col min="31" max="31" width="11.6328125" style="3" customWidth="1"/>
    <col min="32" max="32" width="26.1796875" style="3" customWidth="1"/>
    <col min="33" max="33" width="11.6328125" style="3" customWidth="1"/>
    <col min="34" max="34" width="20.90625" style="3" customWidth="1"/>
    <col min="35" max="35" width="11.6328125" style="3" customWidth="1"/>
    <col min="36" max="16384" width="8.7265625" style="3"/>
  </cols>
  <sheetData>
    <row r="1" spans="1:37" s="2" customFormat="1" ht="33" customHeight="1" x14ac:dyDescent="0.35">
      <c r="A1" s="2" t="s">
        <v>33</v>
      </c>
      <c r="B1" s="2" t="s">
        <v>86</v>
      </c>
      <c r="C1" s="2" t="s">
        <v>122</v>
      </c>
      <c r="D1" s="2" t="s">
        <v>89</v>
      </c>
      <c r="E1" s="2" t="s">
        <v>104</v>
      </c>
      <c r="F1" s="2" t="s">
        <v>34</v>
      </c>
      <c r="G1" s="2" t="s">
        <v>105</v>
      </c>
      <c r="H1" s="2" t="s">
        <v>6</v>
      </c>
      <c r="I1" s="2" t="s">
        <v>123</v>
      </c>
      <c r="J1" s="2" t="s">
        <v>35</v>
      </c>
      <c r="K1" s="2" t="s">
        <v>115</v>
      </c>
      <c r="L1" s="2" t="s">
        <v>12</v>
      </c>
      <c r="M1" s="2" t="s">
        <v>116</v>
      </c>
      <c r="N1" s="2" t="s">
        <v>36</v>
      </c>
      <c r="O1" s="2" t="s">
        <v>117</v>
      </c>
      <c r="P1" s="2" t="s">
        <v>94</v>
      </c>
      <c r="Q1" s="2" t="s">
        <v>106</v>
      </c>
      <c r="R1" s="2" t="s">
        <v>19</v>
      </c>
      <c r="S1" s="2" t="s">
        <v>107</v>
      </c>
      <c r="T1" s="2" t="s">
        <v>37</v>
      </c>
      <c r="U1" s="2" t="s">
        <v>108</v>
      </c>
      <c r="V1" s="2" t="s">
        <v>23</v>
      </c>
      <c r="W1" s="2" t="s">
        <v>109</v>
      </c>
      <c r="X1" s="2" t="s">
        <v>25</v>
      </c>
      <c r="Y1" s="2" t="s">
        <v>119</v>
      </c>
      <c r="Z1" s="2" t="s">
        <v>28</v>
      </c>
      <c r="AA1" s="2" t="s">
        <v>120</v>
      </c>
      <c r="AB1" s="2" t="s">
        <v>38</v>
      </c>
      <c r="AC1" s="2" t="s">
        <v>110</v>
      </c>
      <c r="AD1" s="2" t="s">
        <v>95</v>
      </c>
      <c r="AE1" s="2" t="s">
        <v>111</v>
      </c>
      <c r="AF1" s="2" t="s">
        <v>96</v>
      </c>
      <c r="AG1" s="2" t="s">
        <v>112</v>
      </c>
      <c r="AH1" s="2" t="s">
        <v>97</v>
      </c>
      <c r="AI1" s="2" t="s">
        <v>124</v>
      </c>
      <c r="AJ1" s="2" t="s">
        <v>101</v>
      </c>
      <c r="AK1" s="2" t="s">
        <v>102</v>
      </c>
    </row>
    <row r="2" spans="1:37" x14ac:dyDescent="0.35">
      <c r="A2" s="3" t="s">
        <v>40</v>
      </c>
      <c r="B2" s="16">
        <v>1943.24</v>
      </c>
      <c r="C2" s="16">
        <f t="shared" ref="C2:C33" si="0">1-(B2-$B$35)/$B$37</f>
        <v>0.30504252819881417</v>
      </c>
      <c r="D2" s="16">
        <v>52</v>
      </c>
      <c r="E2" s="16">
        <f t="shared" ref="E2:E33" si="1">(D2-$D$35)/$D$37</f>
        <v>5.8386411889596599E-3</v>
      </c>
      <c r="F2" s="3">
        <v>89.86</v>
      </c>
      <c r="G2" s="16">
        <f t="shared" ref="G2:G33" si="2">1-(F2-$F$35)/$F$37</f>
        <v>0.74380048179112945</v>
      </c>
      <c r="H2" s="9">
        <v>1675</v>
      </c>
      <c r="I2" s="9"/>
      <c r="J2" s="3">
        <v>225</v>
      </c>
      <c r="K2" s="16">
        <f t="shared" ref="K2:K33" si="3">(J2-$J$35)/$J$37</f>
        <v>1</v>
      </c>
      <c r="L2" s="3">
        <v>48</v>
      </c>
      <c r="M2" s="16">
        <f t="shared" ref="M2:M33" si="4">(L2-$L$35)/$L$37</f>
        <v>0.23129251700680273</v>
      </c>
      <c r="N2" s="3">
        <v>77.900000000000006</v>
      </c>
      <c r="P2" s="9">
        <v>2595</v>
      </c>
      <c r="Q2" s="16">
        <f t="shared" ref="Q2:Q33" si="5">1-(P2-$P$35)/$P$37</f>
        <v>0.86604080784286552</v>
      </c>
      <c r="R2">
        <v>58</v>
      </c>
      <c r="S2" s="16">
        <f t="shared" ref="S2:S33" si="6">(R2-$R$35)/$R$37</f>
        <v>1</v>
      </c>
      <c r="T2">
        <v>124</v>
      </c>
      <c r="U2" s="16">
        <f t="shared" ref="U2:U33" si="7">(T2-$T$35)/$T$37</f>
        <v>1</v>
      </c>
      <c r="V2">
        <v>16</v>
      </c>
      <c r="W2" s="16">
        <f t="shared" ref="W2:W33" si="8">(V2-$V$35)/$V$37</f>
        <v>0.92307692307692313</v>
      </c>
      <c r="X2" s="3">
        <v>336</v>
      </c>
      <c r="Y2" s="16">
        <f t="shared" ref="Y2:Y33" si="9">(X2-$X$35)/$X$37</f>
        <v>5.2870949403069925E-2</v>
      </c>
      <c r="Z2" s="3">
        <v>5</v>
      </c>
      <c r="AA2" s="16">
        <f t="shared" ref="AA2:AA33" si="10">(Z2-$Z$35)/$Z$37</f>
        <v>3.4482758620689655E-2</v>
      </c>
      <c r="AB2" s="3">
        <v>7.5</v>
      </c>
      <c r="AC2" s="16">
        <f t="shared" ref="AC2:AC33" si="11">1-(AB2-$AB$35)/$AB$37</f>
        <v>0.55555555555555558</v>
      </c>
      <c r="AD2" s="19">
        <v>58516.769177051901</v>
      </c>
      <c r="AE2" s="16">
        <f t="shared" ref="AE2:AE33" si="12">(AD2-$AD$35)/$AD$37</f>
        <v>0.46279398872180716</v>
      </c>
      <c r="AF2" s="3">
        <v>1.8791512259811143</v>
      </c>
      <c r="AG2" s="16">
        <f t="shared" ref="AG2:AG33" si="13">(AF2-$AF$35)/$AF$37</f>
        <v>0.63483286136579842</v>
      </c>
      <c r="AH2" s="3">
        <v>0.20200000000000001</v>
      </c>
      <c r="AI2" s="16">
        <f t="shared" ref="AI2:AI33" si="14">(AH2-$AH$35)/$AH$37</f>
        <v>0.37654320987654322</v>
      </c>
      <c r="AJ2" s="16">
        <f>AI2+AC2+AA2+Y2+W2+U2+S2+Q2+O2+M2+K2+I2+G2+E2</f>
        <v>6.7895018443625377</v>
      </c>
      <c r="AK2" s="3">
        <v>1</v>
      </c>
    </row>
    <row r="3" spans="1:37" x14ac:dyDescent="0.35">
      <c r="A3" s="3" t="s">
        <v>45</v>
      </c>
      <c r="B3" s="3">
        <v>973.16</v>
      </c>
      <c r="C3" s="16">
        <f t="shared" si="0"/>
        <v>0.9914943602371955</v>
      </c>
      <c r="D3" s="3">
        <v>217</v>
      </c>
      <c r="E3" s="16">
        <f t="shared" si="1"/>
        <v>3.5031847133757961E-2</v>
      </c>
      <c r="F3" s="3">
        <v>132.94</v>
      </c>
      <c r="G3" s="16">
        <f t="shared" si="2"/>
        <v>0.13334278021822299</v>
      </c>
      <c r="H3" s="9">
        <v>1675</v>
      </c>
      <c r="I3" s="9"/>
      <c r="J3" s="3">
        <v>215</v>
      </c>
      <c r="K3" s="16">
        <f t="shared" si="3"/>
        <v>0.23076923076923078</v>
      </c>
      <c r="L3" s="3">
        <v>160</v>
      </c>
      <c r="M3" s="16">
        <f t="shared" si="4"/>
        <v>0.99319727891156462</v>
      </c>
      <c r="N3" s="3">
        <v>77.900000000000006</v>
      </c>
      <c r="P3" s="9">
        <v>6152</v>
      </c>
      <c r="Q3" s="16">
        <f t="shared" si="5"/>
        <v>0.14121559525531902</v>
      </c>
      <c r="R3" s="3">
        <v>39</v>
      </c>
      <c r="S3" s="16">
        <f t="shared" si="6"/>
        <v>0.48648648648648651</v>
      </c>
      <c r="T3" s="3">
        <v>64</v>
      </c>
      <c r="U3" s="16">
        <f t="shared" si="7"/>
        <v>0.21052631578947367</v>
      </c>
      <c r="V3">
        <v>17</v>
      </c>
      <c r="W3" s="16">
        <f t="shared" si="8"/>
        <v>1</v>
      </c>
      <c r="X3" s="9">
        <v>3668</v>
      </c>
      <c r="Y3" s="16">
        <f t="shared" si="9"/>
        <v>1</v>
      </c>
      <c r="Z3" s="3">
        <v>117</v>
      </c>
      <c r="AA3" s="16">
        <f t="shared" si="10"/>
        <v>1</v>
      </c>
      <c r="AB3" s="3">
        <v>8</v>
      </c>
      <c r="AC3" s="16">
        <f t="shared" si="11"/>
        <v>0.44444444444444442</v>
      </c>
      <c r="AD3" s="19">
        <v>66483.743156429002</v>
      </c>
      <c r="AE3" s="16">
        <f t="shared" si="12"/>
        <v>0.7462618595718491</v>
      </c>
      <c r="AF3" s="3">
        <v>0.90057085983459306</v>
      </c>
      <c r="AG3" s="16">
        <f t="shared" si="13"/>
        <v>4.5682928699942636E-2</v>
      </c>
      <c r="AH3" s="3">
        <v>0.19500000000000001</v>
      </c>
      <c r="AI3" s="16">
        <f t="shared" si="14"/>
        <v>0.35493827160493829</v>
      </c>
      <c r="AJ3" s="16">
        <f>AI3+AC3+AA3+Y3+W3+U3+S3+Q3+O3+M3+K3+I3+G3+E3</f>
        <v>6.0299522506134382</v>
      </c>
      <c r="AK3" s="3">
        <v>2</v>
      </c>
    </row>
    <row r="4" spans="1:37" x14ac:dyDescent="0.35">
      <c r="A4" s="3" t="s">
        <v>46</v>
      </c>
      <c r="B4" s="16">
        <v>2366.91</v>
      </c>
      <c r="C4" s="16">
        <f t="shared" si="0"/>
        <v>5.2434933978688925E-3</v>
      </c>
      <c r="D4" s="16">
        <v>118</v>
      </c>
      <c r="E4" s="16">
        <f t="shared" si="1"/>
        <v>1.751592356687898E-2</v>
      </c>
      <c r="F4" s="3">
        <v>111.91</v>
      </c>
      <c r="G4" s="16">
        <f t="shared" si="2"/>
        <v>0.43134476406404987</v>
      </c>
      <c r="H4" s="9">
        <v>1675</v>
      </c>
      <c r="I4" s="9"/>
      <c r="J4" s="3">
        <v>212</v>
      </c>
      <c r="K4" s="16">
        <f t="shared" si="3"/>
        <v>0</v>
      </c>
      <c r="L4" s="3">
        <v>76</v>
      </c>
      <c r="M4" s="16">
        <f t="shared" si="4"/>
        <v>0.42176870748299322</v>
      </c>
      <c r="N4" s="3">
        <v>77.900000000000006</v>
      </c>
      <c r="P4" s="9">
        <v>2023</v>
      </c>
      <c r="Q4" s="16">
        <f t="shared" si="5"/>
        <v>0.98259971186312889</v>
      </c>
      <c r="R4">
        <v>56</v>
      </c>
      <c r="S4" s="16">
        <f t="shared" si="6"/>
        <v>0.94594594594594594</v>
      </c>
      <c r="T4">
        <v>108</v>
      </c>
      <c r="U4" s="16">
        <f t="shared" si="7"/>
        <v>0.78947368421052633</v>
      </c>
      <c r="V4">
        <v>14</v>
      </c>
      <c r="W4" s="16">
        <f t="shared" si="8"/>
        <v>0.76923076923076927</v>
      </c>
      <c r="X4" s="3">
        <v>335</v>
      </c>
      <c r="Y4" s="16">
        <f t="shared" si="9"/>
        <v>5.2586696986924392E-2</v>
      </c>
      <c r="Z4" s="3">
        <v>27</v>
      </c>
      <c r="AA4" s="16">
        <f t="shared" si="10"/>
        <v>0.22413793103448276</v>
      </c>
      <c r="AB4" s="3">
        <v>6.03</v>
      </c>
      <c r="AC4" s="16">
        <f t="shared" si="11"/>
        <v>0.88222222222222213</v>
      </c>
      <c r="AD4" s="19">
        <v>54772.377702380203</v>
      </c>
      <c r="AE4" s="16">
        <f t="shared" si="12"/>
        <v>0.32956715985280888</v>
      </c>
      <c r="AF4" s="3">
        <v>2.2562356937872878</v>
      </c>
      <c r="AG4" s="16">
        <f t="shared" si="13"/>
        <v>0.86185487867049038</v>
      </c>
      <c r="AH4" s="3">
        <v>0.221</v>
      </c>
      <c r="AI4" s="16">
        <f t="shared" si="14"/>
        <v>0.43518518518518523</v>
      </c>
      <c r="AJ4" s="16">
        <f>AI4+AC4+AA4+Y4+W4+U4+S4+Q4+O4+M4+K4+I4+G4+E4</f>
        <v>5.952011541793107</v>
      </c>
      <c r="AK4" s="3">
        <v>3</v>
      </c>
    </row>
    <row r="5" spans="1:37" x14ac:dyDescent="0.35">
      <c r="A5" s="3" t="s">
        <v>43</v>
      </c>
      <c r="B5" s="16">
        <v>1949.71</v>
      </c>
      <c r="C5" s="16">
        <f t="shared" si="0"/>
        <v>0.30046420130485862</v>
      </c>
      <c r="D5" s="16">
        <v>174</v>
      </c>
      <c r="E5" s="16">
        <f t="shared" si="1"/>
        <v>2.7423920736022647E-2</v>
      </c>
      <c r="F5" s="3">
        <v>88.26</v>
      </c>
      <c r="G5" s="16">
        <f t="shared" si="2"/>
        <v>0.76647300552642761</v>
      </c>
      <c r="H5" s="9">
        <v>1675</v>
      </c>
      <c r="I5" s="9"/>
      <c r="J5" s="3">
        <v>217</v>
      </c>
      <c r="K5" s="16">
        <f t="shared" si="3"/>
        <v>0.38461538461538464</v>
      </c>
      <c r="L5" s="3">
        <v>77</v>
      </c>
      <c r="M5" s="16">
        <f t="shared" si="4"/>
        <v>0.42857142857142855</v>
      </c>
      <c r="N5" s="3">
        <v>77.900000000000006</v>
      </c>
      <c r="P5" s="9">
        <v>2034</v>
      </c>
      <c r="Q5" s="16">
        <f t="shared" si="5"/>
        <v>0.98035819447812378</v>
      </c>
      <c r="R5">
        <v>38</v>
      </c>
      <c r="S5" s="16">
        <f t="shared" si="6"/>
        <v>0.45945945945945948</v>
      </c>
      <c r="T5">
        <v>92</v>
      </c>
      <c r="U5" s="16">
        <f t="shared" si="7"/>
        <v>0.57894736842105265</v>
      </c>
      <c r="V5">
        <v>14</v>
      </c>
      <c r="W5" s="16">
        <f t="shared" si="8"/>
        <v>0.76923076923076927</v>
      </c>
      <c r="X5" s="3">
        <v>344</v>
      </c>
      <c r="Y5" s="16">
        <f t="shared" si="9"/>
        <v>5.5144968732234227E-2</v>
      </c>
      <c r="Z5" s="3">
        <v>29</v>
      </c>
      <c r="AA5" s="16">
        <f t="shared" si="10"/>
        <v>0.2413793103448276</v>
      </c>
      <c r="AB5" s="3">
        <v>6.5</v>
      </c>
      <c r="AC5" s="16">
        <f t="shared" si="11"/>
        <v>0.77777777777777779</v>
      </c>
      <c r="AD5" s="19">
        <v>60670.850545259003</v>
      </c>
      <c r="AE5" s="16">
        <f t="shared" si="12"/>
        <v>0.53943699780706511</v>
      </c>
      <c r="AF5" s="3">
        <v>2.485695286187275</v>
      </c>
      <c r="AG5" s="16">
        <f t="shared" si="13"/>
        <v>1</v>
      </c>
      <c r="AH5" s="3">
        <v>0.17199999999999999</v>
      </c>
      <c r="AI5" s="16">
        <f t="shared" si="14"/>
        <v>0.28395061728395055</v>
      </c>
      <c r="AJ5" s="16">
        <f>AI5+AC5+AA5+Y5+W5+U5+S5+Q5+O5+M5+K5+I5+G5+E5</f>
        <v>5.7533322051774594</v>
      </c>
      <c r="AK5" s="3">
        <v>4</v>
      </c>
    </row>
    <row r="6" spans="1:37" x14ac:dyDescent="0.35">
      <c r="A6" s="3" t="s">
        <v>66</v>
      </c>
      <c r="B6" s="16">
        <v>1792.98</v>
      </c>
      <c r="C6" s="16">
        <f t="shared" si="0"/>
        <v>0.41137010147327313</v>
      </c>
      <c r="D6" s="16">
        <v>134</v>
      </c>
      <c r="E6" s="16">
        <f t="shared" si="1"/>
        <v>2.0346779900920028E-2</v>
      </c>
      <c r="F6" s="3">
        <v>116.55</v>
      </c>
      <c r="G6" s="16">
        <f t="shared" si="2"/>
        <v>0.36559444523168483</v>
      </c>
      <c r="H6" s="9">
        <v>1675</v>
      </c>
      <c r="I6" s="9"/>
      <c r="J6" s="3">
        <v>216</v>
      </c>
      <c r="K6" s="16">
        <f t="shared" si="3"/>
        <v>0.30769230769230771</v>
      </c>
      <c r="L6" s="3">
        <v>121</v>
      </c>
      <c r="M6" s="16">
        <f t="shared" si="4"/>
        <v>0.72789115646258506</v>
      </c>
      <c r="N6" s="3">
        <v>77.900000000000006</v>
      </c>
      <c r="P6" s="9">
        <v>3290</v>
      </c>
      <c r="Q6" s="16">
        <f t="shared" si="5"/>
        <v>0.72441766397209106</v>
      </c>
      <c r="R6">
        <v>42</v>
      </c>
      <c r="S6" s="16">
        <f t="shared" si="6"/>
        <v>0.56756756756756754</v>
      </c>
      <c r="T6">
        <v>87</v>
      </c>
      <c r="U6" s="16">
        <f t="shared" si="7"/>
        <v>0.51315789473684215</v>
      </c>
      <c r="V6">
        <v>12</v>
      </c>
      <c r="W6" s="16">
        <f t="shared" si="8"/>
        <v>0.61538461538461542</v>
      </c>
      <c r="X6" s="9">
        <v>3633</v>
      </c>
      <c r="Y6" s="16">
        <f t="shared" si="9"/>
        <v>0.99005116543490623</v>
      </c>
      <c r="Z6" s="3">
        <v>12</v>
      </c>
      <c r="AA6" s="16">
        <f t="shared" si="10"/>
        <v>9.4827586206896547E-2</v>
      </c>
      <c r="AB6" s="3">
        <v>7</v>
      </c>
      <c r="AC6" s="16">
        <f t="shared" si="11"/>
        <v>0.66666666666666674</v>
      </c>
      <c r="AD6" s="19">
        <v>59610.4448402657</v>
      </c>
      <c r="AE6" s="16">
        <f t="shared" si="12"/>
        <v>0.50170737195290971</v>
      </c>
      <c r="AF6" s="3">
        <v>1.5098896869368212</v>
      </c>
      <c r="AG6" s="16">
        <f t="shared" si="13"/>
        <v>0.41252060333357254</v>
      </c>
      <c r="AH6" s="3">
        <v>0.11799999999999999</v>
      </c>
      <c r="AI6" s="16">
        <f t="shared" si="14"/>
        <v>0.11728395061728392</v>
      </c>
      <c r="AJ6" s="16">
        <f>AI6+AC6+AA6+Y6+W6+U6+S6+Q6+O6+M6+K6+I6+G6+E6</f>
        <v>5.7108817998743664</v>
      </c>
      <c r="AK6" s="3">
        <v>5</v>
      </c>
    </row>
    <row r="7" spans="1:37" x14ac:dyDescent="0.35">
      <c r="A7" s="3" t="s">
        <v>62</v>
      </c>
      <c r="B7" s="16">
        <v>1993.38</v>
      </c>
      <c r="C7" s="16">
        <f t="shared" si="0"/>
        <v>0.26956226383050985</v>
      </c>
      <c r="D7" s="16">
        <v>26</v>
      </c>
      <c r="E7" s="16">
        <f t="shared" si="1"/>
        <v>1.2384996461429583E-3</v>
      </c>
      <c r="F7" s="3">
        <v>82.49</v>
      </c>
      <c r="G7" s="16">
        <f t="shared" si="2"/>
        <v>0.84823579424684714</v>
      </c>
      <c r="H7" s="9">
        <v>1675</v>
      </c>
      <c r="I7" s="9"/>
      <c r="J7" s="3">
        <v>220</v>
      </c>
      <c r="K7" s="16">
        <f t="shared" si="3"/>
        <v>0.61538461538461542</v>
      </c>
      <c r="L7" s="3">
        <v>67</v>
      </c>
      <c r="M7" s="16">
        <f t="shared" si="4"/>
        <v>0.36054421768707484</v>
      </c>
      <c r="N7" s="3">
        <v>77.900000000000006</v>
      </c>
      <c r="P7" s="9">
        <v>2762</v>
      </c>
      <c r="Q7" s="16">
        <f t="shared" si="5"/>
        <v>0.8320104984523341</v>
      </c>
      <c r="R7">
        <v>23</v>
      </c>
      <c r="S7" s="16">
        <f t="shared" si="6"/>
        <v>5.4054054054054057E-2</v>
      </c>
      <c r="T7">
        <v>64</v>
      </c>
      <c r="U7" s="16">
        <f t="shared" si="7"/>
        <v>0.21052631578947367</v>
      </c>
      <c r="V7">
        <v>7</v>
      </c>
      <c r="W7" s="16">
        <f t="shared" si="8"/>
        <v>0.23076923076923078</v>
      </c>
      <c r="X7" s="3">
        <v>549</v>
      </c>
      <c r="Y7" s="16">
        <f t="shared" si="9"/>
        <v>0.11341671404206936</v>
      </c>
      <c r="Z7" s="3">
        <v>112</v>
      </c>
      <c r="AA7" s="16">
        <f t="shared" si="10"/>
        <v>0.9568965517241379</v>
      </c>
      <c r="AB7" s="3">
        <v>7</v>
      </c>
      <c r="AC7" s="16">
        <f t="shared" si="11"/>
        <v>0.66666666666666674</v>
      </c>
      <c r="AD7" s="19">
        <v>66618.9328406602</v>
      </c>
      <c r="AE7" s="16">
        <f t="shared" si="12"/>
        <v>0.75107195836834395</v>
      </c>
      <c r="AF7" s="3">
        <v>2.0099846983061851</v>
      </c>
      <c r="AG7" s="16">
        <f t="shared" si="13"/>
        <v>0.71360056821678031</v>
      </c>
      <c r="AH7" s="3">
        <v>0.28000000000000003</v>
      </c>
      <c r="AI7" s="16">
        <f t="shared" si="14"/>
        <v>0.61728395061728392</v>
      </c>
      <c r="AJ7" s="16">
        <f>AI7+AC7+AA7+Y7+W7+U7+S7+Q7+O7+M7+K7+I7+G7+E7</f>
        <v>5.5070271090799308</v>
      </c>
      <c r="AK7" s="3">
        <v>6</v>
      </c>
    </row>
    <row r="8" spans="1:37" x14ac:dyDescent="0.35">
      <c r="A8" s="3" t="s">
        <v>55</v>
      </c>
      <c r="B8" s="16">
        <v>1863.91</v>
      </c>
      <c r="C8" s="16">
        <f t="shared" si="0"/>
        <v>0.36117833538544286</v>
      </c>
      <c r="D8" s="16">
        <v>62</v>
      </c>
      <c r="E8" s="16">
        <f t="shared" si="1"/>
        <v>7.6079263977353153E-3</v>
      </c>
      <c r="F8" s="3">
        <v>95.3</v>
      </c>
      <c r="G8" s="16">
        <f t="shared" si="2"/>
        <v>0.66671390109111517</v>
      </c>
      <c r="H8" s="9">
        <v>1675</v>
      </c>
      <c r="I8" s="9"/>
      <c r="J8" s="3">
        <v>221</v>
      </c>
      <c r="K8" s="16">
        <f t="shared" si="3"/>
        <v>0.69230769230769229</v>
      </c>
      <c r="L8" s="3">
        <v>30</v>
      </c>
      <c r="M8" s="16">
        <f t="shared" si="4"/>
        <v>0.10884353741496598</v>
      </c>
      <c r="N8" s="3">
        <v>77.900000000000006</v>
      </c>
      <c r="P8" s="9">
        <v>1983</v>
      </c>
      <c r="Q8" s="16">
        <f t="shared" si="5"/>
        <v>0.99075068417223822</v>
      </c>
      <c r="R8">
        <v>36</v>
      </c>
      <c r="S8" s="16">
        <f t="shared" si="6"/>
        <v>0.40540540540540543</v>
      </c>
      <c r="T8">
        <v>81</v>
      </c>
      <c r="U8" s="16">
        <f t="shared" si="7"/>
        <v>0.43421052631578949</v>
      </c>
      <c r="V8">
        <v>16</v>
      </c>
      <c r="W8" s="16">
        <f t="shared" si="8"/>
        <v>0.92307692307692313</v>
      </c>
      <c r="X8" s="3">
        <v>341</v>
      </c>
      <c r="Y8" s="16">
        <f t="shared" si="9"/>
        <v>5.4292211483797613E-2</v>
      </c>
      <c r="Z8" s="3">
        <v>5</v>
      </c>
      <c r="AA8" s="16">
        <f t="shared" si="10"/>
        <v>3.4482758620689655E-2</v>
      </c>
      <c r="AB8" s="3">
        <v>6</v>
      </c>
      <c r="AC8" s="16">
        <f t="shared" si="11"/>
        <v>0.88888888888888884</v>
      </c>
      <c r="AD8" s="19">
        <v>56905.0186333128</v>
      </c>
      <c r="AE8" s="16">
        <f t="shared" si="12"/>
        <v>0.40544731027679465</v>
      </c>
      <c r="AF8" s="3">
        <v>2.391369080236712</v>
      </c>
      <c r="AG8" s="16">
        <f t="shared" si="13"/>
        <v>0.94321132958835696</v>
      </c>
      <c r="AH8" s="3">
        <v>0.152</v>
      </c>
      <c r="AI8" s="16">
        <f t="shared" si="14"/>
        <v>0.22222222222222221</v>
      </c>
      <c r="AJ8" s="16">
        <f>AI8+AC8+AA8+Y8+W8+U8+S8+Q8+O8+M8+K8+I8+G8+E8</f>
        <v>5.4288026773974636</v>
      </c>
      <c r="AK8" s="3">
        <v>7</v>
      </c>
    </row>
    <row r="9" spans="1:37" x14ac:dyDescent="0.35">
      <c r="A9" s="3" t="s">
        <v>54</v>
      </c>
      <c r="B9" s="16">
        <v>2207.92</v>
      </c>
      <c r="C9" s="16">
        <f t="shared" si="0"/>
        <v>0.11774862367143613</v>
      </c>
      <c r="D9" s="16">
        <v>106</v>
      </c>
      <c r="E9" s="16">
        <f t="shared" si="1"/>
        <v>1.5392781316348195E-2</v>
      </c>
      <c r="F9" s="3">
        <v>99.07</v>
      </c>
      <c r="G9" s="16">
        <f t="shared" si="2"/>
        <v>0.61329176703981869</v>
      </c>
      <c r="H9" s="9">
        <v>1675</v>
      </c>
      <c r="I9" s="9"/>
      <c r="J9" s="3">
        <v>214</v>
      </c>
      <c r="K9" s="16">
        <f t="shared" si="3"/>
        <v>0.15384615384615385</v>
      </c>
      <c r="L9" s="3">
        <v>120</v>
      </c>
      <c r="M9" s="16">
        <f t="shared" si="4"/>
        <v>0.72108843537414968</v>
      </c>
      <c r="N9" s="3">
        <v>77.900000000000006</v>
      </c>
      <c r="P9" s="9">
        <v>1953</v>
      </c>
      <c r="Q9" s="16">
        <f t="shared" si="5"/>
        <v>0.99686391340407021</v>
      </c>
      <c r="R9">
        <v>29</v>
      </c>
      <c r="S9" s="16">
        <f t="shared" si="6"/>
        <v>0.21621621621621623</v>
      </c>
      <c r="T9">
        <v>67</v>
      </c>
      <c r="U9" s="16">
        <f t="shared" si="7"/>
        <v>0.25</v>
      </c>
      <c r="V9">
        <v>10</v>
      </c>
      <c r="W9" s="16">
        <f t="shared" si="8"/>
        <v>0.46153846153846156</v>
      </c>
      <c r="X9" s="3">
        <v>245</v>
      </c>
      <c r="Y9" s="16">
        <f t="shared" si="9"/>
        <v>2.7003979533826036E-2</v>
      </c>
      <c r="Z9" s="3">
        <v>74</v>
      </c>
      <c r="AA9" s="16">
        <f t="shared" si="10"/>
        <v>0.62931034482758619</v>
      </c>
      <c r="AB9" s="3">
        <v>5.5</v>
      </c>
      <c r="AC9" s="16">
        <f t="shared" si="11"/>
        <v>1</v>
      </c>
      <c r="AD9" s="19">
        <v>53343.597085365604</v>
      </c>
      <c r="AE9" s="16">
        <f t="shared" si="12"/>
        <v>0.2787306188442234</v>
      </c>
      <c r="AF9" s="3">
        <v>2.2761391485477729</v>
      </c>
      <c r="AG9" s="16">
        <f t="shared" si="13"/>
        <v>0.87383766458937517</v>
      </c>
      <c r="AH9" s="3">
        <v>0.182</v>
      </c>
      <c r="AI9" s="16">
        <f t="shared" si="14"/>
        <v>0.31481481481481477</v>
      </c>
      <c r="AJ9" s="16">
        <f>AI9+AC9+AA9+Y9+W9+U9+S9+Q9+O9+M9+K9+I9+G9+E9</f>
        <v>5.3993668679114455</v>
      </c>
      <c r="AK9" s="3">
        <v>8</v>
      </c>
    </row>
    <row r="10" spans="1:37" x14ac:dyDescent="0.35">
      <c r="A10" s="3" t="s">
        <v>50</v>
      </c>
      <c r="B10" s="16">
        <v>1877.37</v>
      </c>
      <c r="C10" s="16">
        <f t="shared" si="0"/>
        <v>0.35165371714855875</v>
      </c>
      <c r="D10" s="16">
        <v>75</v>
      </c>
      <c r="E10" s="16">
        <f t="shared" si="1"/>
        <v>9.9079971691436661E-3</v>
      </c>
      <c r="F10" s="3">
        <v>140.13</v>
      </c>
      <c r="G10" s="16">
        <f t="shared" si="2"/>
        <v>3.1458126682726406E-2</v>
      </c>
      <c r="H10" s="9">
        <v>1675</v>
      </c>
      <c r="I10" s="9"/>
      <c r="J10" s="3">
        <v>220</v>
      </c>
      <c r="K10" s="16">
        <f t="shared" si="3"/>
        <v>0.61538461538461542</v>
      </c>
      <c r="L10" s="3">
        <v>100</v>
      </c>
      <c r="M10" s="16">
        <f t="shared" si="4"/>
        <v>0.58503401360544216</v>
      </c>
      <c r="N10" s="3">
        <v>77.900000000000006</v>
      </c>
      <c r="P10" s="9">
        <v>3333</v>
      </c>
      <c r="Q10" s="16">
        <f t="shared" si="5"/>
        <v>0.71565536873979863</v>
      </c>
      <c r="R10">
        <v>35</v>
      </c>
      <c r="S10" s="16">
        <f t="shared" si="6"/>
        <v>0.3783783783783784</v>
      </c>
      <c r="T10">
        <v>90</v>
      </c>
      <c r="U10" s="16">
        <f t="shared" si="7"/>
        <v>0.55263157894736847</v>
      </c>
      <c r="V10">
        <v>8</v>
      </c>
      <c r="W10" s="16">
        <f t="shared" si="8"/>
        <v>0.30769230769230771</v>
      </c>
      <c r="X10" s="9">
        <v>3537</v>
      </c>
      <c r="Y10" s="16">
        <f t="shared" si="9"/>
        <v>0.96276293348493458</v>
      </c>
      <c r="Z10" s="3">
        <v>6</v>
      </c>
      <c r="AA10" s="16">
        <f t="shared" si="10"/>
        <v>4.3103448275862072E-2</v>
      </c>
      <c r="AB10" s="3">
        <v>7.2</v>
      </c>
      <c r="AC10" s="16">
        <f t="shared" si="11"/>
        <v>0.62222222222222223</v>
      </c>
      <c r="AD10" s="19">
        <v>56290.931116075997</v>
      </c>
      <c r="AE10" s="16">
        <f t="shared" si="12"/>
        <v>0.3835978500579833</v>
      </c>
      <c r="AF10" s="3">
        <v>1.4074140193038305</v>
      </c>
      <c r="AG10" s="16">
        <f t="shared" si="13"/>
        <v>0.3508255859650905</v>
      </c>
      <c r="AH10" s="3">
        <v>0.26600000000000001</v>
      </c>
      <c r="AI10" s="16">
        <f t="shared" si="14"/>
        <v>0.57407407407407407</v>
      </c>
      <c r="AJ10" s="16">
        <f>AI10+AC10+AA10+Y10+W10+U10+S10+Q10+O10+M10+K10+I10+G10+E10</f>
        <v>5.3983050646568733</v>
      </c>
      <c r="AK10" s="3">
        <v>9</v>
      </c>
    </row>
    <row r="11" spans="1:37" x14ac:dyDescent="0.35">
      <c r="A11" s="3" t="s">
        <v>48</v>
      </c>
      <c r="B11" s="16">
        <v>2065.48</v>
      </c>
      <c r="C11" s="16">
        <f t="shared" si="0"/>
        <v>0.21854257773248986</v>
      </c>
      <c r="D11" s="16">
        <v>52</v>
      </c>
      <c r="E11" s="16">
        <f t="shared" si="1"/>
        <v>5.8386411889596599E-3</v>
      </c>
      <c r="F11" s="3">
        <v>104.58</v>
      </c>
      <c r="G11" s="16">
        <f t="shared" si="2"/>
        <v>0.53521326342638509</v>
      </c>
      <c r="H11" s="9">
        <v>1675</v>
      </c>
      <c r="I11" s="9"/>
      <c r="J11" s="3">
        <v>219</v>
      </c>
      <c r="K11" s="16">
        <f t="shared" si="3"/>
        <v>0.53846153846153844</v>
      </c>
      <c r="L11" s="3">
        <v>85</v>
      </c>
      <c r="M11" s="16">
        <f t="shared" si="4"/>
        <v>0.48299319727891155</v>
      </c>
      <c r="N11" s="3">
        <v>77.900000000000006</v>
      </c>
      <c r="P11" s="9">
        <v>2356</v>
      </c>
      <c r="Q11" s="16">
        <f t="shared" si="5"/>
        <v>0.91474286738979371</v>
      </c>
      <c r="R11">
        <v>36</v>
      </c>
      <c r="S11" s="16">
        <f t="shared" si="6"/>
        <v>0.40540540540540543</v>
      </c>
      <c r="T11">
        <v>87</v>
      </c>
      <c r="U11" s="16">
        <f t="shared" si="7"/>
        <v>0.51315789473684215</v>
      </c>
      <c r="V11">
        <v>10</v>
      </c>
      <c r="W11" s="16">
        <f t="shared" si="8"/>
        <v>0.46153846153846156</v>
      </c>
      <c r="X11" s="3">
        <v>302</v>
      </c>
      <c r="Y11" s="16">
        <f t="shared" si="9"/>
        <v>4.3206367254121657E-2</v>
      </c>
      <c r="Z11" s="3">
        <v>46</v>
      </c>
      <c r="AA11" s="16">
        <f t="shared" si="10"/>
        <v>0.38793103448275862</v>
      </c>
      <c r="AB11" s="3">
        <v>7.02</v>
      </c>
      <c r="AC11" s="16">
        <f t="shared" si="11"/>
        <v>0.66222222222222227</v>
      </c>
      <c r="AD11" s="19">
        <v>53153.423740025602</v>
      </c>
      <c r="AE11" s="16">
        <f t="shared" si="12"/>
        <v>0.27196418111824316</v>
      </c>
      <c r="AF11" s="3">
        <v>1.8800729958979063</v>
      </c>
      <c r="AG11" s="16">
        <f t="shared" si="13"/>
        <v>0.63538780882151924</v>
      </c>
      <c r="AH11" s="3">
        <v>0.21199999999999999</v>
      </c>
      <c r="AI11" s="16">
        <f t="shared" si="14"/>
        <v>0.40740740740740744</v>
      </c>
      <c r="AJ11" s="16">
        <f>AI11+AC11+AA11+Y11+W11+U11+S11+Q11+O11+M11+K11+I11+G11+E11</f>
        <v>5.3581183007928077</v>
      </c>
      <c r="AK11" s="3">
        <v>10</v>
      </c>
    </row>
    <row r="12" spans="1:37" x14ac:dyDescent="0.35">
      <c r="A12" s="3" t="s">
        <v>47</v>
      </c>
      <c r="B12" s="16">
        <v>1948.34</v>
      </c>
      <c r="C12" s="16">
        <f t="shared" si="0"/>
        <v>0.30143364610311518</v>
      </c>
      <c r="D12" s="16">
        <v>84</v>
      </c>
      <c r="E12" s="16">
        <f t="shared" si="1"/>
        <v>1.1500353857041755E-2</v>
      </c>
      <c r="F12" s="3">
        <v>103.37</v>
      </c>
      <c r="G12" s="16">
        <f t="shared" si="2"/>
        <v>0.55235935950120441</v>
      </c>
      <c r="H12" s="9">
        <v>1675</v>
      </c>
      <c r="I12" s="9"/>
      <c r="J12" s="3">
        <v>219</v>
      </c>
      <c r="K12" s="16">
        <f t="shared" si="3"/>
        <v>0.53846153846153844</v>
      </c>
      <c r="L12" s="3">
        <v>33</v>
      </c>
      <c r="M12" s="16">
        <f t="shared" si="4"/>
        <v>0.12925170068027211</v>
      </c>
      <c r="N12" s="3">
        <v>77.900000000000006</v>
      </c>
      <c r="P12" s="9">
        <v>2633</v>
      </c>
      <c r="Q12" s="16">
        <f t="shared" si="5"/>
        <v>0.85829738414921164</v>
      </c>
      <c r="R12">
        <v>35</v>
      </c>
      <c r="S12" s="16">
        <f t="shared" si="6"/>
        <v>0.3783783783783784</v>
      </c>
      <c r="T12">
        <v>89</v>
      </c>
      <c r="U12" s="16">
        <f t="shared" si="7"/>
        <v>0.53947368421052633</v>
      </c>
      <c r="V12">
        <v>13</v>
      </c>
      <c r="W12" s="16">
        <f t="shared" si="8"/>
        <v>0.69230769230769229</v>
      </c>
      <c r="X12" s="3">
        <v>688</v>
      </c>
      <c r="Y12" s="16">
        <f t="shared" si="9"/>
        <v>0.15292779988629904</v>
      </c>
      <c r="Z12" s="3">
        <v>38</v>
      </c>
      <c r="AA12" s="16">
        <f t="shared" si="10"/>
        <v>0.31896551724137934</v>
      </c>
      <c r="AB12" s="3">
        <v>6.5</v>
      </c>
      <c r="AC12" s="16">
        <f t="shared" si="11"/>
        <v>0.77777777777777779</v>
      </c>
      <c r="AD12" s="19">
        <v>58193.792690681898</v>
      </c>
      <c r="AE12" s="16">
        <f t="shared" si="12"/>
        <v>0.45130236628612164</v>
      </c>
      <c r="AF12" s="3">
        <v>1.8418088584213792</v>
      </c>
      <c r="AG12" s="16">
        <f t="shared" si="13"/>
        <v>0.61235105599294526</v>
      </c>
      <c r="AH12" s="3">
        <v>0.192</v>
      </c>
      <c r="AI12" s="16">
        <f t="shared" si="14"/>
        <v>0.34567901234567899</v>
      </c>
      <c r="AJ12" s="16">
        <f>AI12+AC12+AA12+Y12+W12+U12+S12+Q12+O12+M12+K12+I12+G12+E12</f>
        <v>5.2953801987970008</v>
      </c>
      <c r="AK12" s="3">
        <v>11</v>
      </c>
    </row>
    <row r="13" spans="1:37" x14ac:dyDescent="0.35">
      <c r="A13" s="3" t="s">
        <v>49</v>
      </c>
      <c r="B13" s="16">
        <v>1920.36</v>
      </c>
      <c r="C13" s="16">
        <f t="shared" si="0"/>
        <v>0.32123296395363665</v>
      </c>
      <c r="D13" s="16">
        <v>114</v>
      </c>
      <c r="E13" s="16">
        <f t="shared" si="1"/>
        <v>1.6808209483368718E-2</v>
      </c>
      <c r="F13" s="3">
        <v>121.4</v>
      </c>
      <c r="G13" s="16">
        <f t="shared" si="2"/>
        <v>0.29686835765906183</v>
      </c>
      <c r="H13" s="9">
        <v>1675</v>
      </c>
      <c r="I13" s="9"/>
      <c r="J13" s="3">
        <v>219</v>
      </c>
      <c r="K13" s="16">
        <f t="shared" si="3"/>
        <v>0.53846153846153844</v>
      </c>
      <c r="L13" s="3">
        <v>34</v>
      </c>
      <c r="M13" s="16">
        <f t="shared" si="4"/>
        <v>0.1360544217687075</v>
      </c>
      <c r="N13" s="3">
        <v>77.900000000000006</v>
      </c>
      <c r="P13" s="9">
        <v>2379</v>
      </c>
      <c r="Q13" s="16">
        <f t="shared" si="5"/>
        <v>0.91005605831205583</v>
      </c>
      <c r="R13">
        <v>32</v>
      </c>
      <c r="S13" s="16">
        <f t="shared" si="6"/>
        <v>0.29729729729729731</v>
      </c>
      <c r="T13">
        <v>75</v>
      </c>
      <c r="U13" s="16">
        <f t="shared" si="7"/>
        <v>0.35526315789473684</v>
      </c>
      <c r="V13">
        <v>12</v>
      </c>
      <c r="W13" s="16">
        <f t="shared" si="8"/>
        <v>0.61538461538461542</v>
      </c>
      <c r="X13" s="9">
        <v>2065</v>
      </c>
      <c r="Y13" s="16">
        <f t="shared" si="9"/>
        <v>0.54434337691870383</v>
      </c>
      <c r="Z13" s="3">
        <v>11</v>
      </c>
      <c r="AA13" s="16">
        <f t="shared" si="10"/>
        <v>8.6206896551724144E-2</v>
      </c>
      <c r="AB13" s="3">
        <v>6</v>
      </c>
      <c r="AC13" s="16">
        <f t="shared" si="11"/>
        <v>0.88888888888888884</v>
      </c>
      <c r="AD13" s="19">
        <v>53009.704992767198</v>
      </c>
      <c r="AE13" s="16">
        <f t="shared" si="12"/>
        <v>0.26685061511538788</v>
      </c>
      <c r="AF13" s="3">
        <v>1.8568623018343562</v>
      </c>
      <c r="AG13" s="16">
        <f t="shared" si="13"/>
        <v>0.62141391427209525</v>
      </c>
      <c r="AH13" s="3">
        <v>0.23499999999999999</v>
      </c>
      <c r="AI13" s="16">
        <f t="shared" si="14"/>
        <v>0.47839506172839497</v>
      </c>
      <c r="AJ13" s="16">
        <f>AI13+AC13+AA13+Y13+W13+U13+S13+Q13+O13+M13+K13+I13+G13+E13</f>
        <v>5.164027880349094</v>
      </c>
      <c r="AK13" s="3">
        <v>12</v>
      </c>
    </row>
    <row r="14" spans="1:37" x14ac:dyDescent="0.35">
      <c r="A14" s="4" t="s">
        <v>65</v>
      </c>
      <c r="B14" s="17">
        <v>2263.66</v>
      </c>
      <c r="C14" s="16">
        <f t="shared" si="0"/>
        <v>7.8305665237266564E-2</v>
      </c>
      <c r="D14" s="17">
        <v>258</v>
      </c>
      <c r="E14" s="16">
        <f t="shared" si="1"/>
        <v>4.2285916489738146E-2</v>
      </c>
      <c r="F14" s="3">
        <v>71.78</v>
      </c>
      <c r="G14" s="16">
        <f t="shared" si="2"/>
        <v>1</v>
      </c>
      <c r="H14" s="9">
        <v>1675</v>
      </c>
      <c r="I14" s="9"/>
      <c r="J14" s="3">
        <v>219</v>
      </c>
      <c r="K14" s="16">
        <f t="shared" si="3"/>
        <v>0.53846153846153844</v>
      </c>
      <c r="L14" s="3">
        <v>34</v>
      </c>
      <c r="M14" s="16">
        <f t="shared" si="4"/>
        <v>0.1360544217687075</v>
      </c>
      <c r="N14" s="3">
        <v>77.900000000000006</v>
      </c>
      <c r="P14" s="9">
        <v>3190</v>
      </c>
      <c r="Q14" s="16">
        <f t="shared" si="5"/>
        <v>0.74479509474486438</v>
      </c>
      <c r="R14">
        <v>25</v>
      </c>
      <c r="S14" s="16">
        <f t="shared" si="6"/>
        <v>0.10810810810810811</v>
      </c>
      <c r="T14">
        <v>68</v>
      </c>
      <c r="U14" s="16">
        <f t="shared" si="7"/>
        <v>0.26315789473684209</v>
      </c>
      <c r="V14">
        <v>11</v>
      </c>
      <c r="W14" s="16">
        <f t="shared" si="8"/>
        <v>0.53846153846153844</v>
      </c>
      <c r="X14" s="3">
        <v>566</v>
      </c>
      <c r="Y14" s="16">
        <f t="shared" si="9"/>
        <v>0.11824900511654349</v>
      </c>
      <c r="Z14" s="3">
        <v>24</v>
      </c>
      <c r="AA14" s="16">
        <f t="shared" si="10"/>
        <v>0.19827586206896552</v>
      </c>
      <c r="AB14" s="3">
        <v>8</v>
      </c>
      <c r="AC14" s="16">
        <f t="shared" si="11"/>
        <v>0.44444444444444442</v>
      </c>
      <c r="AD14" s="19">
        <v>72751.761776147803</v>
      </c>
      <c r="AE14" s="16">
        <f t="shared" si="12"/>
        <v>0.96928027248237125</v>
      </c>
      <c r="AF14" s="3">
        <v>1.9005162428460765</v>
      </c>
      <c r="AG14" s="16">
        <f t="shared" si="13"/>
        <v>0.6476955742127396</v>
      </c>
      <c r="AH14" s="3">
        <v>0.40400000000000003</v>
      </c>
      <c r="AI14" s="16">
        <f t="shared" si="14"/>
        <v>1</v>
      </c>
      <c r="AJ14" s="16">
        <f>AI14+AC14+AA14+Y14+W14+U14+S14+Q14+O14+M14+K14+I14+G14+E14</f>
        <v>5.1322938244012901</v>
      </c>
      <c r="AK14" s="3">
        <v>13</v>
      </c>
    </row>
    <row r="15" spans="1:37" x14ac:dyDescent="0.35">
      <c r="A15" s="3" t="s">
        <v>67</v>
      </c>
      <c r="B15" s="16">
        <v>2166.1799999999998</v>
      </c>
      <c r="C15" s="16">
        <f t="shared" si="0"/>
        <v>0.1472848469409419</v>
      </c>
      <c r="D15" s="16">
        <v>74</v>
      </c>
      <c r="E15" s="16">
        <f t="shared" si="1"/>
        <v>9.7310686482661012E-3</v>
      </c>
      <c r="F15" s="3">
        <v>79.67</v>
      </c>
      <c r="G15" s="16">
        <f t="shared" si="2"/>
        <v>0.88819611733031034</v>
      </c>
      <c r="H15" s="9">
        <v>1675</v>
      </c>
      <c r="I15" s="9"/>
      <c r="J15" s="3">
        <v>217</v>
      </c>
      <c r="K15" s="16">
        <f t="shared" si="3"/>
        <v>0.38461538461538464</v>
      </c>
      <c r="L15" s="3">
        <v>156</v>
      </c>
      <c r="M15" s="16">
        <f t="shared" si="4"/>
        <v>0.96598639455782309</v>
      </c>
      <c r="N15" s="3">
        <v>77.900000000000006</v>
      </c>
      <c r="P15" s="9">
        <v>2031</v>
      </c>
      <c r="Q15" s="16">
        <f t="shared" si="5"/>
        <v>0.980969517401307</v>
      </c>
      <c r="R15">
        <v>27</v>
      </c>
      <c r="S15" s="16">
        <f t="shared" si="6"/>
        <v>0.16216216216216217</v>
      </c>
      <c r="T15">
        <v>52</v>
      </c>
      <c r="U15" s="16">
        <f t="shared" si="7"/>
        <v>5.2631578947368418E-2</v>
      </c>
      <c r="V15">
        <v>8</v>
      </c>
      <c r="W15" s="16">
        <f t="shared" si="8"/>
        <v>0.30769230769230771</v>
      </c>
      <c r="X15" s="3">
        <v>378</v>
      </c>
      <c r="Y15" s="16">
        <f t="shared" si="9"/>
        <v>6.4809550881182496E-2</v>
      </c>
      <c r="Z15" s="3">
        <v>10</v>
      </c>
      <c r="AA15" s="16">
        <f t="shared" si="10"/>
        <v>7.7586206896551727E-2</v>
      </c>
      <c r="AB15" s="3">
        <v>6.5</v>
      </c>
      <c r="AC15" s="16">
        <f t="shared" si="11"/>
        <v>0.77777777777777779</v>
      </c>
      <c r="AD15" s="19">
        <v>57721.461536593</v>
      </c>
      <c r="AE15" s="16">
        <f t="shared" si="12"/>
        <v>0.4344966497201701</v>
      </c>
      <c r="AF15" s="3">
        <v>2.3683514498848268</v>
      </c>
      <c r="AG15" s="16">
        <f t="shared" si="13"/>
        <v>0.92935366818304899</v>
      </c>
      <c r="AH15" s="3">
        <v>0.161</v>
      </c>
      <c r="AI15" s="16">
        <f t="shared" si="14"/>
        <v>0.25</v>
      </c>
      <c r="AJ15" s="16">
        <f>AI15+AC15+AA15+Y15+W15+U15+S15+Q15+O15+M15+K15+I15+G15+E15</f>
        <v>4.9221580669104421</v>
      </c>
      <c r="AK15" s="3">
        <v>14</v>
      </c>
    </row>
    <row r="16" spans="1:37" x14ac:dyDescent="0.35">
      <c r="A16" s="3" t="s">
        <v>39</v>
      </c>
      <c r="B16" s="16">
        <v>2002.75</v>
      </c>
      <c r="C16" s="16">
        <f t="shared" si="0"/>
        <v>0.26293182750958832</v>
      </c>
      <c r="D16" s="16">
        <v>24</v>
      </c>
      <c r="E16" s="16">
        <f t="shared" si="1"/>
        <v>8.8464260438782727E-4</v>
      </c>
      <c r="F16" s="3">
        <v>115.58</v>
      </c>
      <c r="G16" s="16">
        <f t="shared" si="2"/>
        <v>0.37933966274620945</v>
      </c>
      <c r="H16" s="9">
        <v>1675</v>
      </c>
      <c r="I16" s="9"/>
      <c r="J16" s="3">
        <v>219</v>
      </c>
      <c r="K16" s="16">
        <f t="shared" si="3"/>
        <v>0.53846153846153844</v>
      </c>
      <c r="L16" s="3">
        <v>161</v>
      </c>
      <c r="M16" s="16">
        <f t="shared" si="4"/>
        <v>1</v>
      </c>
      <c r="N16" s="3">
        <v>77.900000000000006</v>
      </c>
      <c r="P16" s="9">
        <v>1991</v>
      </c>
      <c r="Q16" s="16">
        <f t="shared" si="5"/>
        <v>0.98912048971041633</v>
      </c>
      <c r="R16">
        <v>21</v>
      </c>
      <c r="S16" s="16">
        <f t="shared" si="6"/>
        <v>0</v>
      </c>
      <c r="T16">
        <v>54</v>
      </c>
      <c r="U16" s="16">
        <f t="shared" si="7"/>
        <v>7.8947368421052627E-2</v>
      </c>
      <c r="V16">
        <v>8</v>
      </c>
      <c r="W16" s="16">
        <f t="shared" si="8"/>
        <v>0.30769230769230771</v>
      </c>
      <c r="X16" s="3">
        <v>378</v>
      </c>
      <c r="Y16" s="16">
        <f t="shared" si="9"/>
        <v>6.4809550881182496E-2</v>
      </c>
      <c r="Z16" s="3">
        <v>42</v>
      </c>
      <c r="AA16" s="16">
        <f t="shared" si="10"/>
        <v>0.35344827586206895</v>
      </c>
      <c r="AB16" s="3">
        <v>6</v>
      </c>
      <c r="AC16" s="16">
        <f t="shared" si="11"/>
        <v>0.88888888888888884</v>
      </c>
      <c r="AD16" s="19">
        <v>45509.765403035897</v>
      </c>
      <c r="AE16" s="16">
        <f t="shared" si="12"/>
        <v>0</v>
      </c>
      <c r="AF16" s="3">
        <v>1.9048118785801063</v>
      </c>
      <c r="AG16" s="16">
        <f t="shared" si="13"/>
        <v>0.6502817424938655</v>
      </c>
      <c r="AH16" s="3">
        <v>0.17899999999999999</v>
      </c>
      <c r="AI16" s="16">
        <f t="shared" si="14"/>
        <v>0.30555555555555552</v>
      </c>
      <c r="AJ16" s="16">
        <f>AI16+AC16+AA16+Y16+W16+U16+S16+Q16+O16+M16+K16+I16+G16+E16</f>
        <v>4.9071482808236082</v>
      </c>
      <c r="AK16" s="3">
        <v>15</v>
      </c>
    </row>
    <row r="17" spans="1:37" x14ac:dyDescent="0.35">
      <c r="A17" s="3" t="s">
        <v>42</v>
      </c>
      <c r="B17" s="16">
        <v>2036.05</v>
      </c>
      <c r="C17" s="16">
        <f t="shared" si="0"/>
        <v>0.23936795029649471</v>
      </c>
      <c r="D17" s="16">
        <v>68</v>
      </c>
      <c r="E17" s="16">
        <f t="shared" si="1"/>
        <v>8.6694975230007069E-3</v>
      </c>
      <c r="F17" s="3">
        <v>117.59</v>
      </c>
      <c r="G17" s="16">
        <f t="shared" si="2"/>
        <v>0.35085730480374089</v>
      </c>
      <c r="H17" s="9">
        <v>1675</v>
      </c>
      <c r="I17" s="9"/>
      <c r="J17" s="3">
        <v>221</v>
      </c>
      <c r="K17" s="16">
        <f t="shared" si="3"/>
        <v>0.69230769230769229</v>
      </c>
      <c r="L17" s="3">
        <v>130</v>
      </c>
      <c r="M17" s="16">
        <f t="shared" si="4"/>
        <v>0.78911564625850339</v>
      </c>
      <c r="N17" s="3">
        <v>77.900000000000006</v>
      </c>
      <c r="P17" s="9">
        <v>2626</v>
      </c>
      <c r="Q17" s="16">
        <f t="shared" si="5"/>
        <v>0.85972380430330586</v>
      </c>
      <c r="R17">
        <v>32</v>
      </c>
      <c r="S17" s="16">
        <f t="shared" si="6"/>
        <v>0.29729729729729731</v>
      </c>
      <c r="T17">
        <v>79</v>
      </c>
      <c r="U17" s="16">
        <f t="shared" si="7"/>
        <v>0.40789473684210525</v>
      </c>
      <c r="V17">
        <v>6</v>
      </c>
      <c r="W17" s="16">
        <f t="shared" si="8"/>
        <v>0.15384615384615385</v>
      </c>
      <c r="X17" s="3">
        <v>641</v>
      </c>
      <c r="Y17" s="16">
        <f t="shared" si="9"/>
        <v>0.13956793632745879</v>
      </c>
      <c r="Z17" s="3">
        <v>40</v>
      </c>
      <c r="AA17" s="16">
        <f t="shared" si="10"/>
        <v>0.33620689655172414</v>
      </c>
      <c r="AB17" s="3">
        <v>7.2</v>
      </c>
      <c r="AC17" s="16">
        <f t="shared" si="11"/>
        <v>0.62222222222222223</v>
      </c>
      <c r="AD17" s="19">
        <v>52945.345385860703</v>
      </c>
      <c r="AE17" s="16">
        <f t="shared" si="12"/>
        <v>0.26456067657840321</v>
      </c>
      <c r="AF17" s="3">
        <v>1.6801645527373923</v>
      </c>
      <c r="AG17" s="16">
        <f t="shared" si="13"/>
        <v>0.51503382472194614</v>
      </c>
      <c r="AH17" s="3">
        <v>0.14399999999999999</v>
      </c>
      <c r="AI17" s="16">
        <f t="shared" si="14"/>
        <v>0.19753086419753083</v>
      </c>
      <c r="AJ17" s="16">
        <f>AI17+AC17+AA17+Y17+W17+U17+S17+Q17+O17+M17+K17+I17+G17+E17</f>
        <v>4.8552400524807355</v>
      </c>
      <c r="AK17" s="3">
        <v>16</v>
      </c>
    </row>
    <row r="18" spans="1:37" x14ac:dyDescent="0.35">
      <c r="A18" s="3" t="s">
        <v>69</v>
      </c>
      <c r="B18" s="16">
        <v>2173.7199999999998</v>
      </c>
      <c r="C18" s="16">
        <f t="shared" si="0"/>
        <v>0.14194936243083001</v>
      </c>
      <c r="D18" s="16">
        <v>45</v>
      </c>
      <c r="E18" s="16">
        <f t="shared" si="1"/>
        <v>4.6001415428167025E-3</v>
      </c>
      <c r="F18" s="3">
        <v>112.25</v>
      </c>
      <c r="G18" s="16">
        <f t="shared" si="2"/>
        <v>0.426526852770299</v>
      </c>
      <c r="H18" s="9">
        <v>1675</v>
      </c>
      <c r="I18" s="9"/>
      <c r="J18" s="3">
        <v>218</v>
      </c>
      <c r="K18" s="16">
        <f t="shared" si="3"/>
        <v>0.46153846153846156</v>
      </c>
      <c r="L18" s="3">
        <v>47</v>
      </c>
      <c r="M18" s="16">
        <f t="shared" si="4"/>
        <v>0.22448979591836735</v>
      </c>
      <c r="N18" s="3">
        <v>77.900000000000006</v>
      </c>
      <c r="P18" s="9">
        <v>2234</v>
      </c>
      <c r="Q18" s="16">
        <f t="shared" si="5"/>
        <v>0.93960333293257714</v>
      </c>
      <c r="R18">
        <v>28</v>
      </c>
      <c r="S18" s="16">
        <f t="shared" si="6"/>
        <v>0.1891891891891892</v>
      </c>
      <c r="T18">
        <v>61</v>
      </c>
      <c r="U18" s="16">
        <f t="shared" si="7"/>
        <v>0.17105263157894737</v>
      </c>
      <c r="V18">
        <v>9</v>
      </c>
      <c r="W18" s="16">
        <f t="shared" si="8"/>
        <v>0.38461538461538464</v>
      </c>
      <c r="X18" s="9">
        <v>2163</v>
      </c>
      <c r="Y18" s="16">
        <f t="shared" si="9"/>
        <v>0.57220011370096646</v>
      </c>
      <c r="Z18" s="3">
        <v>6</v>
      </c>
      <c r="AA18" s="16">
        <f t="shared" si="10"/>
        <v>4.3103448275862072E-2</v>
      </c>
      <c r="AB18" s="3">
        <v>6</v>
      </c>
      <c r="AC18" s="16">
        <f t="shared" si="11"/>
        <v>0.88888888888888884</v>
      </c>
      <c r="AD18" s="19">
        <v>55053.657327774701</v>
      </c>
      <c r="AE18" s="16">
        <f t="shared" si="12"/>
        <v>0.33957519260532831</v>
      </c>
      <c r="AF18" s="3">
        <v>2.0536279218059796</v>
      </c>
      <c r="AG18" s="16">
        <f t="shared" si="13"/>
        <v>0.73987577572730479</v>
      </c>
      <c r="AH18" s="3">
        <v>0.255</v>
      </c>
      <c r="AI18" s="16">
        <f t="shared" si="14"/>
        <v>0.54012345679012341</v>
      </c>
      <c r="AJ18" s="16">
        <f>AI18+AC18+AA18+Y18+W18+U18+S18+Q18+O18+M18+K18+I18+G18+E18</f>
        <v>4.8459316977418831</v>
      </c>
      <c r="AK18" s="3">
        <v>17</v>
      </c>
    </row>
    <row r="19" spans="1:37" x14ac:dyDescent="0.35">
      <c r="A19" s="3" t="s">
        <v>56</v>
      </c>
      <c r="B19" s="16">
        <v>1991.01</v>
      </c>
      <c r="C19" s="16">
        <f t="shared" si="0"/>
        <v>0.27123933256909971</v>
      </c>
      <c r="D19" s="16">
        <v>174</v>
      </c>
      <c r="E19" s="16">
        <f t="shared" si="1"/>
        <v>2.7423920736022647E-2</v>
      </c>
      <c r="F19" s="3">
        <v>102.7</v>
      </c>
      <c r="G19" s="16">
        <f t="shared" si="2"/>
        <v>0.56185347881536063</v>
      </c>
      <c r="H19" s="9">
        <v>1675</v>
      </c>
      <c r="I19" s="9"/>
      <c r="J19" s="3">
        <v>220</v>
      </c>
      <c r="K19" s="16">
        <f t="shared" si="3"/>
        <v>0.61538461538461542</v>
      </c>
      <c r="L19" s="3">
        <v>27</v>
      </c>
      <c r="M19" s="16">
        <f t="shared" si="4"/>
        <v>8.8435374149659865E-2</v>
      </c>
      <c r="N19" s="3">
        <v>77.900000000000006</v>
      </c>
      <c r="P19" s="9">
        <v>2828</v>
      </c>
      <c r="Q19" s="16">
        <f t="shared" si="5"/>
        <v>0.81856139414230378</v>
      </c>
      <c r="R19">
        <v>32</v>
      </c>
      <c r="S19" s="16">
        <f t="shared" si="6"/>
        <v>0.29729729729729731</v>
      </c>
      <c r="T19">
        <v>67</v>
      </c>
      <c r="U19" s="16">
        <f t="shared" si="7"/>
        <v>0.25</v>
      </c>
      <c r="V19">
        <v>11</v>
      </c>
      <c r="W19" s="16">
        <f t="shared" si="8"/>
        <v>0.53846153846153844</v>
      </c>
      <c r="X19" s="3">
        <v>465</v>
      </c>
      <c r="Y19" s="16">
        <f t="shared" si="9"/>
        <v>8.9539511085844223E-2</v>
      </c>
      <c r="Z19" s="3">
        <v>14</v>
      </c>
      <c r="AA19" s="16">
        <f t="shared" si="10"/>
        <v>0.11206896551724138</v>
      </c>
      <c r="AB19" s="3">
        <v>6.5</v>
      </c>
      <c r="AC19" s="16">
        <f t="shared" si="11"/>
        <v>0.77777777777777779</v>
      </c>
      <c r="AD19" s="19">
        <v>56651.132887235697</v>
      </c>
      <c r="AE19" s="16">
        <f t="shared" si="12"/>
        <v>0.39641396184789995</v>
      </c>
      <c r="AF19" s="3">
        <v>1.6693521006375442</v>
      </c>
      <c r="AG19" s="16">
        <f t="shared" si="13"/>
        <v>0.50852423629471988</v>
      </c>
      <c r="AH19" s="3">
        <v>0.27800000000000002</v>
      </c>
      <c r="AI19" s="16">
        <f t="shared" si="14"/>
        <v>0.61111111111111116</v>
      </c>
      <c r="AJ19" s="16">
        <f>AI19+AC19+AA19+Y19+W19+U19+S19+Q19+O19+M19+K19+I19+G19+E19</f>
        <v>4.7879149844787721</v>
      </c>
      <c r="AK19" s="3">
        <v>18</v>
      </c>
    </row>
    <row r="20" spans="1:37" x14ac:dyDescent="0.35">
      <c r="A20" s="3" t="s">
        <v>41</v>
      </c>
      <c r="B20" s="16">
        <v>2155.04</v>
      </c>
      <c r="C20" s="16">
        <f t="shared" si="0"/>
        <v>0.15516777763625311</v>
      </c>
      <c r="D20" s="16">
        <v>19</v>
      </c>
      <c r="E20" s="16">
        <f t="shared" si="1"/>
        <v>0</v>
      </c>
      <c r="F20" s="3">
        <v>86.95</v>
      </c>
      <c r="G20" s="16">
        <f t="shared" si="2"/>
        <v>0.7850361343347031</v>
      </c>
      <c r="H20" s="9">
        <v>1675</v>
      </c>
      <c r="I20" s="9"/>
      <c r="J20" s="3">
        <v>217</v>
      </c>
      <c r="K20" s="16">
        <f t="shared" si="3"/>
        <v>0.38461538461538464</v>
      </c>
      <c r="L20" s="3">
        <v>90</v>
      </c>
      <c r="M20" s="16">
        <f t="shared" si="4"/>
        <v>0.51700680272108845</v>
      </c>
      <c r="N20" s="3">
        <v>77.900000000000006</v>
      </c>
      <c r="P20" s="9">
        <v>1937.61</v>
      </c>
      <c r="Q20" s="16">
        <f t="shared" si="5"/>
        <v>1</v>
      </c>
      <c r="R20">
        <v>26</v>
      </c>
      <c r="S20" s="16">
        <f t="shared" si="6"/>
        <v>0.13513513513513514</v>
      </c>
      <c r="T20">
        <v>69</v>
      </c>
      <c r="U20" s="16">
        <f t="shared" si="7"/>
        <v>0.27631578947368424</v>
      </c>
      <c r="V20">
        <v>6</v>
      </c>
      <c r="W20" s="16">
        <f t="shared" si="8"/>
        <v>0.15384615384615385</v>
      </c>
      <c r="X20" s="3">
        <v>367</v>
      </c>
      <c r="Y20" s="16">
        <f t="shared" si="9"/>
        <v>6.1682774303581579E-2</v>
      </c>
      <c r="Z20" s="3">
        <v>28</v>
      </c>
      <c r="AA20" s="16">
        <f t="shared" si="10"/>
        <v>0.23275862068965517</v>
      </c>
      <c r="AB20" s="3">
        <v>6</v>
      </c>
      <c r="AC20" s="16">
        <f t="shared" si="11"/>
        <v>0.88888888888888884</v>
      </c>
      <c r="AD20" s="19">
        <v>53707.9994125792</v>
      </c>
      <c r="AE20" s="16">
        <f t="shared" si="12"/>
        <v>0.29169618796688224</v>
      </c>
      <c r="AF20" s="3">
        <v>2.3098903379498115</v>
      </c>
      <c r="AG20" s="16">
        <f t="shared" si="13"/>
        <v>0.89415741721419562</v>
      </c>
      <c r="AH20" s="3">
        <v>0.185</v>
      </c>
      <c r="AI20" s="16">
        <f t="shared" si="14"/>
        <v>0.32407407407407407</v>
      </c>
      <c r="AJ20" s="16">
        <f>AI20+AC20+AA20+Y20+W20+U20+S20+Q20+O20+M20+K20+I20+G20+E20</f>
        <v>4.7593597580823488</v>
      </c>
      <c r="AK20" s="3">
        <v>19</v>
      </c>
    </row>
    <row r="21" spans="1:37" x14ac:dyDescent="0.35">
      <c r="A21" s="3" t="s">
        <v>64</v>
      </c>
      <c r="B21" s="16">
        <v>2089.87</v>
      </c>
      <c r="C21" s="16">
        <f t="shared" si="0"/>
        <v>0.20128362982776449</v>
      </c>
      <c r="D21" s="16">
        <v>35</v>
      </c>
      <c r="E21" s="16">
        <f t="shared" si="1"/>
        <v>2.8308563340410475E-3</v>
      </c>
      <c r="F21" s="3">
        <v>101.74</v>
      </c>
      <c r="G21" s="16">
        <f t="shared" si="2"/>
        <v>0.57545699305653963</v>
      </c>
      <c r="H21" s="9">
        <v>1675</v>
      </c>
      <c r="I21" s="9"/>
      <c r="J21" s="3">
        <v>222</v>
      </c>
      <c r="K21" s="16">
        <f t="shared" si="3"/>
        <v>0.76923076923076927</v>
      </c>
      <c r="L21" s="3">
        <v>21</v>
      </c>
      <c r="M21" s="16">
        <f t="shared" si="4"/>
        <v>4.7619047619047616E-2</v>
      </c>
      <c r="N21" s="3">
        <v>77.900000000000006</v>
      </c>
      <c r="P21" s="9">
        <v>2096</v>
      </c>
      <c r="Q21" s="16">
        <f t="shared" si="5"/>
        <v>0.96772418739900434</v>
      </c>
      <c r="R21">
        <v>30</v>
      </c>
      <c r="S21" s="16">
        <f t="shared" si="6"/>
        <v>0.24324324324324326</v>
      </c>
      <c r="T21">
        <v>74</v>
      </c>
      <c r="U21" s="16">
        <f t="shared" si="7"/>
        <v>0.34210526315789475</v>
      </c>
      <c r="V21">
        <v>10</v>
      </c>
      <c r="W21" s="16">
        <f t="shared" si="8"/>
        <v>0.46153846153846156</v>
      </c>
      <c r="X21" s="3">
        <v>355</v>
      </c>
      <c r="Y21" s="16">
        <f t="shared" si="9"/>
        <v>5.8271745309835137E-2</v>
      </c>
      <c r="Z21" s="3">
        <v>5</v>
      </c>
      <c r="AA21" s="16">
        <f t="shared" si="10"/>
        <v>3.4482758620689655E-2</v>
      </c>
      <c r="AB21" s="3">
        <v>6.33</v>
      </c>
      <c r="AC21" s="16">
        <f t="shared" si="11"/>
        <v>0.81555555555555559</v>
      </c>
      <c r="AD21" s="19">
        <v>56868.826410582697</v>
      </c>
      <c r="AE21" s="16">
        <f t="shared" si="12"/>
        <v>0.40415957765143529</v>
      </c>
      <c r="AF21" s="3">
        <v>2.2610061390975944</v>
      </c>
      <c r="AG21" s="16">
        <f t="shared" si="13"/>
        <v>0.86472690393339291</v>
      </c>
      <c r="AH21" s="3">
        <v>0.219</v>
      </c>
      <c r="AI21" s="16">
        <f t="shared" si="14"/>
        <v>0.42901234567901236</v>
      </c>
      <c r="AJ21" s="16">
        <f>AI21+AC21+AA21+Y21+W21+U21+S21+Q21+O21+M21+K21+I21+G21+E21</f>
        <v>4.7470712267440938</v>
      </c>
      <c r="AK21" s="3">
        <v>20</v>
      </c>
    </row>
    <row r="22" spans="1:37" x14ac:dyDescent="0.35">
      <c r="A22" s="3" t="s">
        <v>44</v>
      </c>
      <c r="B22" s="16">
        <v>2010.57</v>
      </c>
      <c r="C22" s="16">
        <f t="shared" si="0"/>
        <v>0.25739820829618332</v>
      </c>
      <c r="D22" s="16">
        <v>5671</v>
      </c>
      <c r="E22" s="16">
        <f t="shared" si="1"/>
        <v>1</v>
      </c>
      <c r="F22" s="3">
        <v>108.07</v>
      </c>
      <c r="G22" s="16">
        <f t="shared" si="2"/>
        <v>0.48575882102876577</v>
      </c>
      <c r="H22" s="9">
        <v>1675</v>
      </c>
      <c r="I22" s="9"/>
      <c r="J22" s="3">
        <v>219</v>
      </c>
      <c r="K22" s="16">
        <f t="shared" si="3"/>
        <v>0.53846153846153844</v>
      </c>
      <c r="L22" s="3">
        <v>18</v>
      </c>
      <c r="M22" s="16">
        <f t="shared" si="4"/>
        <v>2.7210884353741496E-2</v>
      </c>
      <c r="N22" s="3">
        <v>77.900000000000006</v>
      </c>
      <c r="P22" s="9">
        <v>5136</v>
      </c>
      <c r="Q22" s="16">
        <f t="shared" si="5"/>
        <v>0.34825029190669576</v>
      </c>
      <c r="R22">
        <v>33</v>
      </c>
      <c r="S22" s="16">
        <f t="shared" si="6"/>
        <v>0.32432432432432434</v>
      </c>
      <c r="T22">
        <v>73</v>
      </c>
      <c r="U22" s="16">
        <f t="shared" si="7"/>
        <v>0.32894736842105265</v>
      </c>
      <c r="V22">
        <v>4</v>
      </c>
      <c r="W22" s="16">
        <f t="shared" si="8"/>
        <v>0</v>
      </c>
      <c r="X22" s="9">
        <v>3624</v>
      </c>
      <c r="Y22" s="16">
        <f t="shared" si="9"/>
        <v>0.98749289368959636</v>
      </c>
      <c r="Z22" s="3">
        <v>14</v>
      </c>
      <c r="AA22" s="16">
        <f t="shared" si="10"/>
        <v>0.11206896551724138</v>
      </c>
      <c r="AB22" s="3">
        <v>9</v>
      </c>
      <c r="AC22" s="16">
        <f t="shared" si="11"/>
        <v>0.22222222222222221</v>
      </c>
      <c r="AD22" s="19">
        <v>63815.448360417802</v>
      </c>
      <c r="AE22" s="16">
        <f t="shared" si="12"/>
        <v>0.6513229471838512</v>
      </c>
      <c r="AF22" s="3">
        <v>1.0354271865332587</v>
      </c>
      <c r="AG22" s="16">
        <f t="shared" si="13"/>
        <v>0.12687257703403512</v>
      </c>
      <c r="AH22" s="3">
        <v>0.19600000000000001</v>
      </c>
      <c r="AI22" s="16">
        <f t="shared" si="14"/>
        <v>0.35802469135802467</v>
      </c>
      <c r="AJ22" s="16">
        <f>AI22+AC22+AA22+Y22+W22+U22+S22+Q22+O22+M22+K22+I22+G22+E22</f>
        <v>4.732762001283203</v>
      </c>
      <c r="AK22" s="3">
        <v>21</v>
      </c>
    </row>
    <row r="23" spans="1:37" x14ac:dyDescent="0.35">
      <c r="A23" s="12" t="s">
        <v>52</v>
      </c>
      <c r="B23" s="18">
        <v>2107.3200000000002</v>
      </c>
      <c r="C23" s="16">
        <f t="shared" si="0"/>
        <v>0.18893559206895083</v>
      </c>
      <c r="D23" s="18">
        <v>19</v>
      </c>
      <c r="E23" s="16">
        <f t="shared" si="1"/>
        <v>0</v>
      </c>
      <c r="F23" s="3">
        <v>133.11000000000001</v>
      </c>
      <c r="G23" s="16">
        <f t="shared" si="2"/>
        <v>0.13093382457134739</v>
      </c>
      <c r="H23" s="9">
        <v>1675</v>
      </c>
      <c r="I23" s="9"/>
      <c r="J23" s="3">
        <v>218</v>
      </c>
      <c r="K23" s="16">
        <f t="shared" si="3"/>
        <v>0.46153846153846156</v>
      </c>
      <c r="L23" s="3">
        <v>24</v>
      </c>
      <c r="M23" s="16">
        <f t="shared" si="4"/>
        <v>6.8027210884353748E-2</v>
      </c>
      <c r="N23" s="3">
        <v>77.900000000000006</v>
      </c>
      <c r="P23" s="9">
        <v>2495</v>
      </c>
      <c r="Q23" s="16">
        <f t="shared" si="5"/>
        <v>0.88641823861563884</v>
      </c>
      <c r="R23">
        <v>30</v>
      </c>
      <c r="S23" s="16">
        <f t="shared" si="6"/>
        <v>0.24324324324324326</v>
      </c>
      <c r="T23">
        <v>80</v>
      </c>
      <c r="U23" s="16">
        <f t="shared" si="7"/>
        <v>0.42105263157894735</v>
      </c>
      <c r="V23">
        <v>9</v>
      </c>
      <c r="W23" s="16">
        <f t="shared" si="8"/>
        <v>0.38461538461538464</v>
      </c>
      <c r="X23" s="9">
        <v>2405</v>
      </c>
      <c r="Y23" s="16">
        <f t="shared" si="9"/>
        <v>0.64098919840818647</v>
      </c>
      <c r="Z23" s="3">
        <v>64</v>
      </c>
      <c r="AA23" s="16">
        <f t="shared" si="10"/>
        <v>0.5431034482758621</v>
      </c>
      <c r="AB23" s="3">
        <v>7.5</v>
      </c>
      <c r="AC23" s="16">
        <f t="shared" si="11"/>
        <v>0.55555555555555558</v>
      </c>
      <c r="AD23" s="19">
        <v>58016.0390104662</v>
      </c>
      <c r="AE23" s="16">
        <f t="shared" si="12"/>
        <v>0.44497782482321074</v>
      </c>
      <c r="AF23" s="3">
        <v>1.9377434539233869</v>
      </c>
      <c r="AG23" s="16">
        <f t="shared" si="13"/>
        <v>0.67010805014039498</v>
      </c>
      <c r="AH23" s="3">
        <v>0.185</v>
      </c>
      <c r="AI23" s="16">
        <f t="shared" si="14"/>
        <v>0.32407407407407407</v>
      </c>
      <c r="AJ23" s="16">
        <f>AI23+AC23+AA23+Y23+W23+U23+S23+Q23+O23+M23+K23+I23+G23+E23</f>
        <v>4.659551271361055</v>
      </c>
      <c r="AK23" s="3">
        <v>22</v>
      </c>
    </row>
    <row r="24" spans="1:37" x14ac:dyDescent="0.35">
      <c r="A24" s="3" t="s">
        <v>57</v>
      </c>
      <c r="B24" s="16">
        <v>1920.53</v>
      </c>
      <c r="C24" s="16">
        <f t="shared" si="0"/>
        <v>0.32111266788378001</v>
      </c>
      <c r="D24" s="16">
        <v>316</v>
      </c>
      <c r="E24" s="16">
        <f t="shared" si="1"/>
        <v>5.2547770700636945E-2</v>
      </c>
      <c r="F24" s="3">
        <v>114.9</v>
      </c>
      <c r="G24" s="16">
        <f t="shared" si="2"/>
        <v>0.38897548533371107</v>
      </c>
      <c r="H24" s="9">
        <v>1675</v>
      </c>
      <c r="I24" s="9"/>
      <c r="J24" s="3">
        <v>220</v>
      </c>
      <c r="K24" s="16">
        <f t="shared" si="3"/>
        <v>0.61538461538461542</v>
      </c>
      <c r="L24" s="3">
        <v>58</v>
      </c>
      <c r="M24" s="16">
        <f t="shared" si="4"/>
        <v>0.29931972789115646</v>
      </c>
      <c r="N24" s="3">
        <v>77.900000000000006</v>
      </c>
      <c r="P24" s="9">
        <v>3638</v>
      </c>
      <c r="Q24" s="16">
        <f t="shared" si="5"/>
        <v>0.65350420488283989</v>
      </c>
      <c r="R24">
        <v>23</v>
      </c>
      <c r="S24" s="16">
        <f t="shared" si="6"/>
        <v>5.4054054054054057E-2</v>
      </c>
      <c r="T24">
        <v>58</v>
      </c>
      <c r="U24" s="16">
        <f t="shared" si="7"/>
        <v>0.13157894736842105</v>
      </c>
      <c r="V24">
        <v>13</v>
      </c>
      <c r="W24" s="16">
        <f t="shared" si="8"/>
        <v>0.69230769230769229</v>
      </c>
      <c r="X24" s="9">
        <v>3655</v>
      </c>
      <c r="Y24" s="16">
        <f t="shared" si="9"/>
        <v>0.99630471859010805</v>
      </c>
      <c r="Z24" s="3">
        <v>21</v>
      </c>
      <c r="AA24" s="16">
        <f t="shared" si="10"/>
        <v>0.17241379310344829</v>
      </c>
      <c r="AB24" s="3">
        <v>7.89</v>
      </c>
      <c r="AC24" s="16">
        <f t="shared" si="11"/>
        <v>0.46888888888888891</v>
      </c>
      <c r="AD24" s="19">
        <v>63722.3918179557</v>
      </c>
      <c r="AE24" s="16">
        <f t="shared" si="12"/>
        <v>0.64801196110197357</v>
      </c>
      <c r="AF24" s="3">
        <v>1.4596479709079095</v>
      </c>
      <c r="AG24" s="16">
        <f t="shared" si="13"/>
        <v>0.3822728029081362</v>
      </c>
      <c r="AH24" s="3">
        <v>0.104</v>
      </c>
      <c r="AI24" s="16">
        <f t="shared" si="14"/>
        <v>7.4074074074074056E-2</v>
      </c>
      <c r="AJ24" s="16">
        <f>AI24+AC24+AA24+Y24+W24+U24+S24+Q24+O24+M24+K24+I24+G24+E24</f>
        <v>4.5993539725796468</v>
      </c>
      <c r="AK24" s="3">
        <v>23</v>
      </c>
    </row>
    <row r="25" spans="1:37" x14ac:dyDescent="0.35">
      <c r="A25" s="3" t="s">
        <v>61</v>
      </c>
      <c r="B25" s="16">
        <v>2037.98</v>
      </c>
      <c r="C25" s="16">
        <f t="shared" si="0"/>
        <v>0.2380022360916515</v>
      </c>
      <c r="D25" s="16">
        <v>19</v>
      </c>
      <c r="E25" s="16">
        <f t="shared" si="1"/>
        <v>0</v>
      </c>
      <c r="F25" s="3">
        <v>134.35</v>
      </c>
      <c r="G25" s="16">
        <f t="shared" si="2"/>
        <v>0.11336261867649144</v>
      </c>
      <c r="H25" s="9">
        <v>1675</v>
      </c>
      <c r="I25" s="9"/>
      <c r="J25" s="3">
        <v>219</v>
      </c>
      <c r="K25" s="16">
        <f t="shared" si="3"/>
        <v>0.53846153846153844</v>
      </c>
      <c r="L25" s="3">
        <v>33</v>
      </c>
      <c r="M25" s="16">
        <f t="shared" si="4"/>
        <v>0.12925170068027211</v>
      </c>
      <c r="N25" s="3">
        <v>77.900000000000006</v>
      </c>
      <c r="P25" s="9">
        <v>2190</v>
      </c>
      <c r="Q25" s="16">
        <f t="shared" si="5"/>
        <v>0.94856940247259747</v>
      </c>
      <c r="R25">
        <v>27</v>
      </c>
      <c r="S25" s="16">
        <f t="shared" si="6"/>
        <v>0.16216216216216217</v>
      </c>
      <c r="T25">
        <v>77</v>
      </c>
      <c r="U25" s="16">
        <f t="shared" si="7"/>
        <v>0.38157894736842107</v>
      </c>
      <c r="V25">
        <v>13</v>
      </c>
      <c r="W25" s="16">
        <f t="shared" si="8"/>
        <v>0.69230769230769229</v>
      </c>
      <c r="X25" s="9">
        <v>1069</v>
      </c>
      <c r="Y25" s="16">
        <f t="shared" si="9"/>
        <v>0.2612279704377487</v>
      </c>
      <c r="Z25" s="3">
        <v>11</v>
      </c>
      <c r="AA25" s="16">
        <f t="shared" si="10"/>
        <v>8.6206896551724144E-2</v>
      </c>
      <c r="AB25" s="3">
        <v>6.67</v>
      </c>
      <c r="AC25" s="16">
        <f t="shared" si="11"/>
        <v>0.74</v>
      </c>
      <c r="AD25" s="19">
        <v>55649.787147117699</v>
      </c>
      <c r="AE25" s="16">
        <f t="shared" si="12"/>
        <v>0.36078571131378673</v>
      </c>
      <c r="AF25" s="3">
        <v>2.117571809251054</v>
      </c>
      <c r="AG25" s="16">
        <f t="shared" si="13"/>
        <v>0.7783729071698724</v>
      </c>
      <c r="AH25" s="3">
        <v>0.14599999999999999</v>
      </c>
      <c r="AI25" s="16">
        <f t="shared" si="14"/>
        <v>0.20370370370370366</v>
      </c>
      <c r="AJ25" s="16">
        <f>AI25+AC25+AA25+Y25+W25+U25+S25+Q25+O25+M25+K25+I25+G25+E25</f>
        <v>4.256832632822352</v>
      </c>
      <c r="AK25" s="3">
        <v>24</v>
      </c>
    </row>
    <row r="26" spans="1:37" x14ac:dyDescent="0.35">
      <c r="A26" s="3" t="s">
        <v>60</v>
      </c>
      <c r="B26" s="16">
        <v>1865.41</v>
      </c>
      <c r="C26" s="16">
        <f t="shared" si="0"/>
        <v>0.36011689947494308</v>
      </c>
      <c r="D26" s="16">
        <v>194</v>
      </c>
      <c r="E26" s="16">
        <f t="shared" si="1"/>
        <v>3.0962491153573957E-2</v>
      </c>
      <c r="F26" s="3">
        <v>137.97999999999999</v>
      </c>
      <c r="G26" s="16">
        <f t="shared" si="2"/>
        <v>6.1924330452033494E-2</v>
      </c>
      <c r="H26" s="9">
        <v>1675</v>
      </c>
      <c r="I26" s="9"/>
      <c r="J26" s="3">
        <v>217</v>
      </c>
      <c r="K26" s="16">
        <f t="shared" si="3"/>
        <v>0.38461538461538464</v>
      </c>
      <c r="L26" s="3">
        <v>107</v>
      </c>
      <c r="M26" s="16">
        <f t="shared" si="4"/>
        <v>0.63265306122448983</v>
      </c>
      <c r="N26" s="3">
        <v>77.900000000000006</v>
      </c>
      <c r="P26" s="9">
        <v>3420</v>
      </c>
      <c r="Q26" s="16">
        <f t="shared" si="5"/>
        <v>0.69792700396748575</v>
      </c>
      <c r="R26">
        <v>33</v>
      </c>
      <c r="S26" s="16">
        <f t="shared" si="6"/>
        <v>0.32432432432432434</v>
      </c>
      <c r="T26">
        <v>72</v>
      </c>
      <c r="U26" s="16">
        <f t="shared" si="7"/>
        <v>0.31578947368421051</v>
      </c>
      <c r="V26">
        <v>11</v>
      </c>
      <c r="W26" s="16">
        <f t="shared" si="8"/>
        <v>0.53846153846153844</v>
      </c>
      <c r="X26" s="3">
        <v>549</v>
      </c>
      <c r="Y26" s="16">
        <f t="shared" si="9"/>
        <v>0.11341671404206936</v>
      </c>
      <c r="Z26" s="3">
        <v>42</v>
      </c>
      <c r="AA26" s="16">
        <f t="shared" si="10"/>
        <v>0.35344827586206895</v>
      </c>
      <c r="AB26" s="3">
        <v>7.35</v>
      </c>
      <c r="AC26" s="16">
        <f t="shared" si="11"/>
        <v>0.58888888888888902</v>
      </c>
      <c r="AD26" s="19">
        <v>61170.693572096701</v>
      </c>
      <c r="AE26" s="16">
        <f t="shared" si="12"/>
        <v>0.5572215969464237</v>
      </c>
      <c r="AF26" s="3">
        <v>1.4905139759282824</v>
      </c>
      <c r="AG26" s="16">
        <f t="shared" si="13"/>
        <v>0.40085554318017419</v>
      </c>
      <c r="AH26" s="3">
        <v>0.14599999999999999</v>
      </c>
      <c r="AI26" s="16">
        <f t="shared" si="14"/>
        <v>0.20370370370370366</v>
      </c>
      <c r="AJ26" s="16">
        <f>AI26+AC26+AA26+Y26+W26+U26+S26+Q26+O26+M26+K26+I26+G26+E26</f>
        <v>4.246115190379772</v>
      </c>
      <c r="AK26" s="3">
        <v>25</v>
      </c>
    </row>
    <row r="27" spans="1:37" x14ac:dyDescent="0.35">
      <c r="A27" s="3" t="s">
        <v>53</v>
      </c>
      <c r="B27" s="16">
        <v>2286.3200000000002</v>
      </c>
      <c r="C27" s="16">
        <f t="shared" si="0"/>
        <v>6.2270906749317123E-2</v>
      </c>
      <c r="D27" s="18">
        <v>111</v>
      </c>
      <c r="E27" s="16">
        <f t="shared" si="1"/>
        <v>1.6277423920736021E-2</v>
      </c>
      <c r="F27" s="3">
        <v>79.150000000000006</v>
      </c>
      <c r="G27" s="16">
        <f t="shared" si="2"/>
        <v>0.8955646875442822</v>
      </c>
      <c r="H27" s="9">
        <v>1675</v>
      </c>
      <c r="I27" s="9"/>
      <c r="J27" s="3">
        <v>219</v>
      </c>
      <c r="K27" s="16">
        <f t="shared" si="3"/>
        <v>0.53846153846153844</v>
      </c>
      <c r="L27" s="3">
        <v>55</v>
      </c>
      <c r="M27" s="16">
        <f t="shared" si="4"/>
        <v>0.27891156462585032</v>
      </c>
      <c r="N27" s="3">
        <v>77.900000000000006</v>
      </c>
      <c r="P27" s="9">
        <v>2253</v>
      </c>
      <c r="Q27" s="16">
        <f t="shared" si="5"/>
        <v>0.93573162108575025</v>
      </c>
      <c r="R27">
        <v>26</v>
      </c>
      <c r="S27" s="16">
        <f t="shared" si="6"/>
        <v>0.13513513513513514</v>
      </c>
      <c r="T27">
        <v>52</v>
      </c>
      <c r="U27" s="16">
        <f t="shared" si="7"/>
        <v>5.2631578947368418E-2</v>
      </c>
      <c r="V27">
        <v>6</v>
      </c>
      <c r="W27" s="16">
        <f t="shared" si="8"/>
        <v>0.15384615384615385</v>
      </c>
      <c r="X27" s="3">
        <v>364</v>
      </c>
      <c r="Y27" s="16">
        <f t="shared" si="9"/>
        <v>6.0830017055144972E-2</v>
      </c>
      <c r="Z27" s="3">
        <v>1</v>
      </c>
      <c r="AA27" s="16">
        <f t="shared" si="10"/>
        <v>0</v>
      </c>
      <c r="AB27" s="3">
        <v>6.83</v>
      </c>
      <c r="AC27" s="16">
        <f t="shared" si="11"/>
        <v>0.70444444444444443</v>
      </c>
      <c r="AD27" s="19">
        <v>59861.874909366699</v>
      </c>
      <c r="AE27" s="16">
        <f t="shared" si="12"/>
        <v>0.51065334648982064</v>
      </c>
      <c r="AF27" s="3">
        <v>2.2141542724281216</v>
      </c>
      <c r="AG27" s="16">
        <f t="shared" si="13"/>
        <v>0.83651994715345623</v>
      </c>
      <c r="AH27" s="3">
        <v>0.20399999999999999</v>
      </c>
      <c r="AI27" s="16">
        <f t="shared" si="14"/>
        <v>0.38271604938271597</v>
      </c>
      <c r="AJ27" s="16">
        <f>AI27+AC27+AA27+Y27+W27+U27+S27+Q27+O27+M27+K27+I27+G27+E27</f>
        <v>4.1545502144491202</v>
      </c>
      <c r="AK27" s="3">
        <v>26</v>
      </c>
    </row>
    <row r="28" spans="1:37" x14ac:dyDescent="0.35">
      <c r="A28" s="3" t="s">
        <v>70</v>
      </c>
      <c r="B28" s="3">
        <v>961.14</v>
      </c>
      <c r="C28" s="16">
        <f t="shared" si="0"/>
        <v>1</v>
      </c>
      <c r="D28" s="3">
        <v>121</v>
      </c>
      <c r="E28" s="16">
        <f t="shared" si="1"/>
        <v>1.8046709129511677E-2</v>
      </c>
      <c r="F28" s="3">
        <v>106.6</v>
      </c>
      <c r="G28" s="16">
        <f t="shared" si="2"/>
        <v>0.50658920221057113</v>
      </c>
      <c r="H28" s="9">
        <v>1675</v>
      </c>
      <c r="I28" s="9"/>
      <c r="J28" s="3">
        <v>219</v>
      </c>
      <c r="K28" s="16">
        <f t="shared" si="3"/>
        <v>0.53846153846153844</v>
      </c>
      <c r="L28" s="3">
        <v>37</v>
      </c>
      <c r="M28" s="16">
        <f t="shared" si="4"/>
        <v>0.15646258503401361</v>
      </c>
      <c r="N28" s="3">
        <v>77.900000000000006</v>
      </c>
      <c r="P28" s="9">
        <v>4147</v>
      </c>
      <c r="Q28" s="16">
        <f t="shared" si="5"/>
        <v>0.54978308224942385</v>
      </c>
      <c r="R28">
        <v>30</v>
      </c>
      <c r="S28" s="16">
        <f t="shared" si="6"/>
        <v>0.24324324324324326</v>
      </c>
      <c r="T28">
        <v>61</v>
      </c>
      <c r="U28" s="16">
        <f t="shared" si="7"/>
        <v>0.17105263157894737</v>
      </c>
      <c r="V28">
        <v>12</v>
      </c>
      <c r="W28" s="16">
        <f t="shared" si="8"/>
        <v>0.61538461538461542</v>
      </c>
      <c r="X28" s="9">
        <v>1573</v>
      </c>
      <c r="Y28" s="16">
        <f t="shared" si="9"/>
        <v>0.40449118817509949</v>
      </c>
      <c r="Z28" s="3">
        <v>6</v>
      </c>
      <c r="AA28" s="16">
        <f t="shared" si="10"/>
        <v>4.3103448275862072E-2</v>
      </c>
      <c r="AB28" s="3">
        <v>7.9</v>
      </c>
      <c r="AC28" s="16">
        <f t="shared" si="11"/>
        <v>0.46666666666666656</v>
      </c>
      <c r="AD28" s="19">
        <v>73615.151581322498</v>
      </c>
      <c r="AE28" s="16">
        <f t="shared" si="12"/>
        <v>1</v>
      </c>
      <c r="AF28" s="3">
        <v>1.4792852580444198</v>
      </c>
      <c r="AG28" s="16">
        <f t="shared" si="13"/>
        <v>0.39409534379946126</v>
      </c>
      <c r="AH28" s="3">
        <v>0.19500000000000001</v>
      </c>
      <c r="AI28" s="16">
        <f t="shared" si="14"/>
        <v>0.35493827160493829</v>
      </c>
      <c r="AJ28" s="16">
        <f>AI28+AC28+AA28+Y28+W28+U28+S28+Q28+O28+M28+K28+I28+G28+E28</f>
        <v>4.0682231820144308</v>
      </c>
      <c r="AK28" s="3">
        <v>27</v>
      </c>
    </row>
    <row r="29" spans="1:37" x14ac:dyDescent="0.35">
      <c r="A29" s="3" t="s">
        <v>59</v>
      </c>
      <c r="B29" s="16">
        <v>2374.3200000000002</v>
      </c>
      <c r="C29" s="16">
        <f t="shared" si="0"/>
        <v>0</v>
      </c>
      <c r="D29" s="16">
        <v>181</v>
      </c>
      <c r="E29" s="16">
        <f t="shared" si="1"/>
        <v>2.8662420382165606E-2</v>
      </c>
      <c r="F29" s="3">
        <v>75.430000000000007</v>
      </c>
      <c r="G29" s="16">
        <f t="shared" si="2"/>
        <v>0.9482783052288507</v>
      </c>
      <c r="H29" s="9">
        <v>1675</v>
      </c>
      <c r="I29" s="9"/>
      <c r="J29" s="3">
        <v>218</v>
      </c>
      <c r="K29" s="16">
        <f t="shared" si="3"/>
        <v>0.46153846153846156</v>
      </c>
      <c r="L29" s="3">
        <v>28</v>
      </c>
      <c r="M29" s="16">
        <f t="shared" si="4"/>
        <v>9.5238095238095233E-2</v>
      </c>
      <c r="N29" s="3">
        <v>77.900000000000006</v>
      </c>
      <c r="P29" s="9">
        <v>2382</v>
      </c>
      <c r="Q29" s="16">
        <f t="shared" si="5"/>
        <v>0.90944473538887272</v>
      </c>
      <c r="R29">
        <v>22</v>
      </c>
      <c r="S29" s="16">
        <f t="shared" si="6"/>
        <v>2.7027027027027029E-2</v>
      </c>
      <c r="T29">
        <v>48</v>
      </c>
      <c r="U29" s="16">
        <f t="shared" si="7"/>
        <v>0</v>
      </c>
      <c r="V29">
        <v>7</v>
      </c>
      <c r="W29" s="16">
        <f t="shared" si="8"/>
        <v>0.23076923076923078</v>
      </c>
      <c r="X29" s="3">
        <v>390</v>
      </c>
      <c r="Y29" s="16">
        <f t="shared" si="9"/>
        <v>6.8220579874928938E-2</v>
      </c>
      <c r="Z29" s="3">
        <v>37</v>
      </c>
      <c r="AA29" s="16">
        <f t="shared" si="10"/>
        <v>0.31034482758620691</v>
      </c>
      <c r="AB29" s="3">
        <v>7</v>
      </c>
      <c r="AC29" s="16">
        <f t="shared" si="11"/>
        <v>0.66666666666666674</v>
      </c>
      <c r="AD29" s="19">
        <v>63952.881288768898</v>
      </c>
      <c r="AE29" s="16">
        <f t="shared" si="12"/>
        <v>0.65621286143300228</v>
      </c>
      <c r="AF29" s="3">
        <v>2.2373664038892001</v>
      </c>
      <c r="AG29" s="16">
        <f t="shared" si="13"/>
        <v>0.85049470708163344</v>
      </c>
      <c r="AH29" s="3">
        <v>0.13700000000000001</v>
      </c>
      <c r="AI29" s="16">
        <f t="shared" si="14"/>
        <v>0.17592592592592596</v>
      </c>
      <c r="AJ29" s="16">
        <f>AI29+AC29+AA29+Y29+W29+U29+S29+Q29+O29+M29+K29+I29+G29+E29</f>
        <v>3.9221162756264327</v>
      </c>
      <c r="AK29" s="3">
        <v>28</v>
      </c>
    </row>
    <row r="30" spans="1:37" x14ac:dyDescent="0.35">
      <c r="A30" s="3" t="s">
        <v>63</v>
      </c>
      <c r="B30" s="16">
        <v>1724.34</v>
      </c>
      <c r="C30" s="16">
        <f t="shared" si="0"/>
        <v>0.45994140873774059</v>
      </c>
      <c r="D30" s="16">
        <v>39</v>
      </c>
      <c r="E30" s="16">
        <f t="shared" si="1"/>
        <v>3.5385704175513091E-3</v>
      </c>
      <c r="F30" s="3">
        <v>142.35</v>
      </c>
      <c r="G30" s="16">
        <f t="shared" si="2"/>
        <v>0</v>
      </c>
      <c r="H30" s="9">
        <v>1675</v>
      </c>
      <c r="I30" s="9"/>
      <c r="J30" s="3">
        <v>218</v>
      </c>
      <c r="K30" s="16">
        <f t="shared" si="3"/>
        <v>0.46153846153846156</v>
      </c>
      <c r="L30" s="3">
        <v>22</v>
      </c>
      <c r="M30" s="16">
        <f t="shared" si="4"/>
        <v>5.4421768707482991E-2</v>
      </c>
      <c r="N30" s="3">
        <v>77.900000000000006</v>
      </c>
      <c r="P30" s="9">
        <v>2803</v>
      </c>
      <c r="Q30" s="16">
        <f t="shared" si="5"/>
        <v>0.82365575183549711</v>
      </c>
      <c r="R30">
        <v>35</v>
      </c>
      <c r="S30" s="16">
        <f t="shared" si="6"/>
        <v>0.3783783783783784</v>
      </c>
      <c r="T30">
        <v>85</v>
      </c>
      <c r="U30" s="16">
        <f t="shared" si="7"/>
        <v>0.48684210526315791</v>
      </c>
      <c r="V30">
        <v>10</v>
      </c>
      <c r="W30" s="16">
        <f t="shared" si="8"/>
        <v>0.46153846153846156</v>
      </c>
      <c r="X30" s="3">
        <v>926</v>
      </c>
      <c r="Y30" s="16">
        <f t="shared" si="9"/>
        <v>0.22057987492893691</v>
      </c>
      <c r="Z30" s="3">
        <v>14</v>
      </c>
      <c r="AA30" s="16">
        <f t="shared" si="10"/>
        <v>0.11206896551724138</v>
      </c>
      <c r="AB30" s="3">
        <v>6</v>
      </c>
      <c r="AC30" s="16">
        <f t="shared" si="11"/>
        <v>0.88888888888888884</v>
      </c>
      <c r="AD30" s="19">
        <v>51591.897999826797</v>
      </c>
      <c r="AE30" s="16">
        <f t="shared" si="12"/>
        <v>0.21640451969629143</v>
      </c>
      <c r="AF30" s="3">
        <v>1.5338297657220477</v>
      </c>
      <c r="AG30" s="16">
        <f t="shared" si="13"/>
        <v>0.42693362069245505</v>
      </c>
      <c r="AH30" s="3">
        <v>0.08</v>
      </c>
      <c r="AI30" s="16">
        <f t="shared" si="14"/>
        <v>0</v>
      </c>
      <c r="AJ30" s="16">
        <f>AI30+AC30+AA30+Y30+W30+U30+S30+Q30+O30+M30+K30+I30+G30+E30</f>
        <v>3.8914512270140582</v>
      </c>
      <c r="AK30" s="3">
        <v>29</v>
      </c>
    </row>
    <row r="31" spans="1:37" x14ac:dyDescent="0.35">
      <c r="A31" s="3" t="s">
        <v>51</v>
      </c>
      <c r="B31" s="16">
        <v>1386.77</v>
      </c>
      <c r="C31" s="16">
        <f t="shared" si="0"/>
        <v>0.69881402227600176</v>
      </c>
      <c r="D31" s="16">
        <v>77</v>
      </c>
      <c r="E31" s="16">
        <f t="shared" si="1"/>
        <v>1.0261854210898797E-2</v>
      </c>
      <c r="F31" s="3">
        <v>103.14</v>
      </c>
      <c r="G31" s="16">
        <f t="shared" si="2"/>
        <v>0.5556185347881536</v>
      </c>
      <c r="H31" s="9">
        <v>1675</v>
      </c>
      <c r="I31" s="9"/>
      <c r="J31" s="3">
        <v>218</v>
      </c>
      <c r="K31" s="16">
        <f t="shared" si="3"/>
        <v>0.46153846153846156</v>
      </c>
      <c r="L31" s="3">
        <v>46</v>
      </c>
      <c r="M31" s="16">
        <f t="shared" si="4"/>
        <v>0.21768707482993196</v>
      </c>
      <c r="N31" s="3">
        <v>77.900000000000006</v>
      </c>
      <c r="P31" s="9">
        <v>4543</v>
      </c>
      <c r="Q31" s="16">
        <f t="shared" si="5"/>
        <v>0.46908845638924146</v>
      </c>
      <c r="R31">
        <v>28</v>
      </c>
      <c r="S31" s="16">
        <f t="shared" si="6"/>
        <v>0.1891891891891892</v>
      </c>
      <c r="T31">
        <v>55</v>
      </c>
      <c r="U31" s="16">
        <f t="shared" si="7"/>
        <v>9.2105263157894732E-2</v>
      </c>
      <c r="V31">
        <v>5</v>
      </c>
      <c r="W31" s="16">
        <f t="shared" si="8"/>
        <v>7.6923076923076927E-2</v>
      </c>
      <c r="X31" s="9">
        <v>2485</v>
      </c>
      <c r="Y31" s="16">
        <f t="shared" si="9"/>
        <v>0.66372939169982947</v>
      </c>
      <c r="Z31" s="3">
        <v>64</v>
      </c>
      <c r="AA31" s="16">
        <f t="shared" si="10"/>
        <v>0.5431034482758621</v>
      </c>
      <c r="AB31" s="3">
        <v>10</v>
      </c>
      <c r="AC31" s="16">
        <f t="shared" si="11"/>
        <v>0</v>
      </c>
      <c r="AD31" s="19">
        <v>63248.315450115602</v>
      </c>
      <c r="AE31" s="16">
        <f t="shared" si="12"/>
        <v>0.63114414918746042</v>
      </c>
      <c r="AF31" s="3">
        <v>1.160178946549923</v>
      </c>
      <c r="AG31" s="16">
        <f t="shared" si="13"/>
        <v>0.20197881619064634</v>
      </c>
      <c r="AH31" s="3">
        <v>0.123</v>
      </c>
      <c r="AI31" s="16">
        <f t="shared" si="14"/>
        <v>0.13271604938271603</v>
      </c>
      <c r="AJ31" s="16">
        <f>AI31+AC31+AA31+Y31+W31+U31+S31+Q31+O31+M31+K31+I31+G31+E31</f>
        <v>3.411960800385256</v>
      </c>
      <c r="AK31" s="3">
        <v>30</v>
      </c>
    </row>
    <row r="32" spans="1:37" x14ac:dyDescent="0.35">
      <c r="A32" s="3" t="s">
        <v>68</v>
      </c>
      <c r="B32" s="16">
        <v>1675.51</v>
      </c>
      <c r="C32" s="16">
        <f t="shared" si="0"/>
        <v>0.49449468574420818</v>
      </c>
      <c r="D32" s="16">
        <v>75</v>
      </c>
      <c r="E32" s="16">
        <f t="shared" si="1"/>
        <v>9.9079971691436661E-3</v>
      </c>
      <c r="F32" s="3">
        <v>98.6</v>
      </c>
      <c r="G32" s="16">
        <f t="shared" si="2"/>
        <v>0.61995182088706258</v>
      </c>
      <c r="H32" s="9">
        <v>1675</v>
      </c>
      <c r="I32" s="9"/>
      <c r="J32" s="3">
        <v>216</v>
      </c>
      <c r="K32" s="16">
        <f t="shared" si="3"/>
        <v>0.30769230769230771</v>
      </c>
      <c r="L32" s="3">
        <v>14</v>
      </c>
      <c r="M32" s="16">
        <f t="shared" si="4"/>
        <v>0</v>
      </c>
      <c r="N32" s="3">
        <v>77.900000000000006</v>
      </c>
      <c r="P32" s="9">
        <v>3284</v>
      </c>
      <c r="Q32" s="16">
        <f t="shared" si="5"/>
        <v>0.7256403098184574</v>
      </c>
      <c r="R32">
        <v>34</v>
      </c>
      <c r="S32" s="16">
        <f t="shared" si="6"/>
        <v>0.35135135135135137</v>
      </c>
      <c r="T32">
        <v>79</v>
      </c>
      <c r="U32" s="16">
        <f t="shared" si="7"/>
        <v>0.40789473684210525</v>
      </c>
      <c r="V32">
        <v>5</v>
      </c>
      <c r="W32" s="16">
        <f t="shared" si="8"/>
        <v>7.6923076923076927E-2</v>
      </c>
      <c r="X32" s="3">
        <v>150</v>
      </c>
      <c r="Y32" s="16">
        <f t="shared" si="9"/>
        <v>0</v>
      </c>
      <c r="Z32" s="3">
        <v>13</v>
      </c>
      <c r="AA32" s="16">
        <f t="shared" si="10"/>
        <v>0.10344827586206896</v>
      </c>
      <c r="AB32" s="3">
        <v>7</v>
      </c>
      <c r="AC32" s="16">
        <f t="shared" si="11"/>
        <v>0.66666666666666674</v>
      </c>
      <c r="AD32" s="19">
        <v>58783.290057654798</v>
      </c>
      <c r="AE32" s="16">
        <f t="shared" si="12"/>
        <v>0.47227689989449917</v>
      </c>
      <c r="AF32" s="3">
        <v>1.4916588017066281</v>
      </c>
      <c r="AG32" s="16">
        <f t="shared" si="13"/>
        <v>0.40154478041970976</v>
      </c>
      <c r="AH32" s="3">
        <v>0.12</v>
      </c>
      <c r="AI32" s="16">
        <f t="shared" si="14"/>
        <v>0.12345679012345677</v>
      </c>
      <c r="AJ32" s="16">
        <f>AI32+AC32+AA32+Y32+W32+U32+S32+Q32+O32+M32+K32+I32+G32+E32</f>
        <v>3.3929333333356979</v>
      </c>
      <c r="AK32" s="3">
        <v>31</v>
      </c>
    </row>
    <row r="33" spans="1:37" x14ac:dyDescent="0.35">
      <c r="A33" s="3" t="s">
        <v>58</v>
      </c>
      <c r="B33" s="16">
        <v>1508.98</v>
      </c>
      <c r="C33" s="16">
        <f t="shared" si="0"/>
        <v>0.61233530052788754</v>
      </c>
      <c r="D33" s="16">
        <v>84</v>
      </c>
      <c r="E33" s="16">
        <f t="shared" si="1"/>
        <v>1.1500353857041755E-2</v>
      </c>
      <c r="F33" s="3">
        <v>118.02</v>
      </c>
      <c r="G33" s="16">
        <f t="shared" si="2"/>
        <v>0.34476406404987958</v>
      </c>
      <c r="H33" s="9">
        <v>1675</v>
      </c>
      <c r="I33" s="9"/>
      <c r="J33" s="3">
        <v>216</v>
      </c>
      <c r="K33" s="16">
        <f t="shared" si="3"/>
        <v>0.30769230769230771</v>
      </c>
      <c r="L33" s="3">
        <v>23</v>
      </c>
      <c r="M33" s="16">
        <f t="shared" si="4"/>
        <v>6.1224489795918366E-2</v>
      </c>
      <c r="N33" s="3">
        <v>77.900000000000006</v>
      </c>
      <c r="P33" s="9">
        <v>6845</v>
      </c>
      <c r="Q33" s="16">
        <f t="shared" si="5"/>
        <v>0</v>
      </c>
      <c r="R33">
        <v>22</v>
      </c>
      <c r="S33" s="16">
        <f t="shared" si="6"/>
        <v>2.7027027027027029E-2</v>
      </c>
      <c r="T33">
        <v>56</v>
      </c>
      <c r="U33" s="16">
        <f t="shared" si="7"/>
        <v>0.10526315789473684</v>
      </c>
      <c r="V33">
        <v>6</v>
      </c>
      <c r="W33" s="16">
        <f t="shared" si="8"/>
        <v>0.15384615384615385</v>
      </c>
      <c r="X33" s="9">
        <v>3551</v>
      </c>
      <c r="Y33" s="16">
        <f t="shared" si="9"/>
        <v>0.96674246731097213</v>
      </c>
      <c r="Z33" s="3">
        <v>8</v>
      </c>
      <c r="AA33" s="16">
        <f t="shared" si="10"/>
        <v>6.0344827586206899E-2</v>
      </c>
      <c r="AB33" s="3">
        <v>9.5</v>
      </c>
      <c r="AC33" s="16">
        <f t="shared" si="11"/>
        <v>0.11111111111111116</v>
      </c>
      <c r="AD33" s="19">
        <v>67740.146236430504</v>
      </c>
      <c r="AE33" s="16">
        <f t="shared" si="12"/>
        <v>0.79096514427434372</v>
      </c>
      <c r="AF33" s="3">
        <v>0.82469133475079748</v>
      </c>
      <c r="AG33" s="16">
        <f t="shared" si="13"/>
        <v>0</v>
      </c>
      <c r="AH33" s="3">
        <v>0.128</v>
      </c>
      <c r="AI33" s="16">
        <f t="shared" si="14"/>
        <v>0.14814814814814814</v>
      </c>
      <c r="AJ33" s="16">
        <f>AI33+AC33+AA33+Y33+W33+U33+S33+Q33+O33+M33+K33+I33+G33+E33</f>
        <v>2.2976641083195033</v>
      </c>
      <c r="AK33" s="3">
        <v>32</v>
      </c>
    </row>
    <row r="35" spans="1:37" hidden="1" x14ac:dyDescent="0.35">
      <c r="A35" s="3" t="s">
        <v>98</v>
      </c>
      <c r="B35" s="16">
        <f>MIN(B2:B33)</f>
        <v>961.14</v>
      </c>
      <c r="C35" s="16">
        <f t="shared" ref="C35:AH35" si="15">MIN(C2:C33)</f>
        <v>0</v>
      </c>
      <c r="D35" s="16">
        <f t="shared" si="15"/>
        <v>19</v>
      </c>
      <c r="E35" s="16">
        <f t="shared" si="15"/>
        <v>0</v>
      </c>
      <c r="F35" s="16">
        <f t="shared" si="15"/>
        <v>71.78</v>
      </c>
      <c r="G35" s="16">
        <f t="shared" si="15"/>
        <v>0</v>
      </c>
      <c r="H35" s="16">
        <f t="shared" si="15"/>
        <v>1675</v>
      </c>
      <c r="I35" s="16">
        <f t="shared" si="15"/>
        <v>0</v>
      </c>
      <c r="J35" s="16">
        <f t="shared" si="15"/>
        <v>212</v>
      </c>
      <c r="K35" s="16">
        <f t="shared" si="15"/>
        <v>0</v>
      </c>
      <c r="L35" s="16">
        <f t="shared" si="15"/>
        <v>14</v>
      </c>
      <c r="M35" s="16">
        <f t="shared" si="15"/>
        <v>0</v>
      </c>
      <c r="N35" s="16">
        <f t="shared" si="15"/>
        <v>77.900000000000006</v>
      </c>
      <c r="O35" s="16">
        <f t="shared" si="15"/>
        <v>0</v>
      </c>
      <c r="P35" s="16">
        <f t="shared" si="15"/>
        <v>1937.61</v>
      </c>
      <c r="Q35" s="16">
        <f t="shared" si="15"/>
        <v>0</v>
      </c>
      <c r="R35" s="16">
        <f t="shared" si="15"/>
        <v>21</v>
      </c>
      <c r="S35" s="16">
        <f t="shared" si="15"/>
        <v>0</v>
      </c>
      <c r="T35" s="16">
        <f t="shared" si="15"/>
        <v>48</v>
      </c>
      <c r="U35" s="16">
        <f t="shared" si="15"/>
        <v>0</v>
      </c>
      <c r="V35" s="16">
        <f t="shared" si="15"/>
        <v>4</v>
      </c>
      <c r="W35" s="16">
        <f t="shared" si="15"/>
        <v>0</v>
      </c>
      <c r="X35" s="16">
        <f t="shared" si="15"/>
        <v>150</v>
      </c>
      <c r="Y35" s="16">
        <f t="shared" si="15"/>
        <v>0</v>
      </c>
      <c r="Z35" s="16">
        <f t="shared" si="15"/>
        <v>1</v>
      </c>
      <c r="AA35" s="16">
        <f t="shared" si="15"/>
        <v>0</v>
      </c>
      <c r="AB35" s="16">
        <f t="shared" si="15"/>
        <v>5.5</v>
      </c>
      <c r="AC35" s="16">
        <f t="shared" si="15"/>
        <v>0</v>
      </c>
      <c r="AD35" s="16">
        <f t="shared" si="15"/>
        <v>45509.765403035897</v>
      </c>
      <c r="AE35" s="16">
        <f t="shared" si="15"/>
        <v>0</v>
      </c>
      <c r="AF35" s="16">
        <f t="shared" si="15"/>
        <v>0.82469133475079748</v>
      </c>
      <c r="AG35" s="16">
        <f t="shared" si="15"/>
        <v>0</v>
      </c>
      <c r="AH35" s="16">
        <f t="shared" si="15"/>
        <v>0.08</v>
      </c>
    </row>
    <row r="36" spans="1:37" hidden="1" x14ac:dyDescent="0.35">
      <c r="A36" s="3" t="s">
        <v>99</v>
      </c>
      <c r="B36" s="16">
        <f>MAX(B2:B33)</f>
        <v>2374.3200000000002</v>
      </c>
      <c r="C36" s="16">
        <f t="shared" ref="C36:AH36" si="16">MAX(C2:C33)</f>
        <v>1</v>
      </c>
      <c r="D36" s="16">
        <f t="shared" si="16"/>
        <v>5671</v>
      </c>
      <c r="E36" s="16">
        <f t="shared" si="16"/>
        <v>1</v>
      </c>
      <c r="F36" s="16">
        <f t="shared" si="16"/>
        <v>142.35</v>
      </c>
      <c r="G36" s="16">
        <f t="shared" si="16"/>
        <v>1</v>
      </c>
      <c r="H36" s="16">
        <f t="shared" si="16"/>
        <v>1675</v>
      </c>
      <c r="I36" s="16">
        <f t="shared" si="16"/>
        <v>0</v>
      </c>
      <c r="J36" s="16">
        <f t="shared" si="16"/>
        <v>225</v>
      </c>
      <c r="K36" s="16">
        <f t="shared" si="16"/>
        <v>1</v>
      </c>
      <c r="L36" s="16">
        <f t="shared" si="16"/>
        <v>161</v>
      </c>
      <c r="M36" s="16">
        <f t="shared" si="16"/>
        <v>1</v>
      </c>
      <c r="N36" s="16">
        <f t="shared" si="16"/>
        <v>77.900000000000006</v>
      </c>
      <c r="O36" s="16">
        <f t="shared" si="16"/>
        <v>0</v>
      </c>
      <c r="P36" s="16">
        <f t="shared" si="16"/>
        <v>6845</v>
      </c>
      <c r="Q36" s="16">
        <f t="shared" si="16"/>
        <v>1</v>
      </c>
      <c r="R36" s="16">
        <f t="shared" si="16"/>
        <v>58</v>
      </c>
      <c r="S36" s="16">
        <f t="shared" si="16"/>
        <v>1</v>
      </c>
      <c r="T36" s="16">
        <f t="shared" si="16"/>
        <v>124</v>
      </c>
      <c r="U36" s="16">
        <f t="shared" si="16"/>
        <v>1</v>
      </c>
      <c r="V36" s="16">
        <f t="shared" si="16"/>
        <v>17</v>
      </c>
      <c r="W36" s="16">
        <f t="shared" si="16"/>
        <v>1</v>
      </c>
      <c r="X36" s="16">
        <f t="shared" si="16"/>
        <v>3668</v>
      </c>
      <c r="Y36" s="16">
        <f t="shared" si="16"/>
        <v>1</v>
      </c>
      <c r="Z36" s="16">
        <f t="shared" si="16"/>
        <v>117</v>
      </c>
      <c r="AA36" s="16">
        <f t="shared" si="16"/>
        <v>1</v>
      </c>
      <c r="AB36" s="16">
        <f t="shared" si="16"/>
        <v>10</v>
      </c>
      <c r="AC36" s="16">
        <f t="shared" si="16"/>
        <v>1</v>
      </c>
      <c r="AD36" s="16">
        <f t="shared" si="16"/>
        <v>73615.151581322498</v>
      </c>
      <c r="AE36" s="16">
        <f t="shared" si="16"/>
        <v>1</v>
      </c>
      <c r="AF36" s="16">
        <f t="shared" si="16"/>
        <v>2.485695286187275</v>
      </c>
      <c r="AG36" s="16">
        <f t="shared" si="16"/>
        <v>1</v>
      </c>
      <c r="AH36" s="16">
        <f t="shared" si="16"/>
        <v>0.40400000000000003</v>
      </c>
    </row>
    <row r="37" spans="1:37" hidden="1" x14ac:dyDescent="0.35">
      <c r="A37" s="3" t="s">
        <v>100</v>
      </c>
      <c r="B37" s="16">
        <f>B36-B35</f>
        <v>1413.1800000000003</v>
      </c>
      <c r="C37" s="16">
        <f t="shared" ref="C37:AH37" si="17">C36-C35</f>
        <v>1</v>
      </c>
      <c r="D37" s="16">
        <f t="shared" si="17"/>
        <v>5652</v>
      </c>
      <c r="E37" s="16">
        <f t="shared" si="17"/>
        <v>1</v>
      </c>
      <c r="F37" s="16">
        <f t="shared" si="17"/>
        <v>70.569999999999993</v>
      </c>
      <c r="G37" s="16">
        <f t="shared" si="17"/>
        <v>1</v>
      </c>
      <c r="H37" s="16">
        <f t="shared" si="17"/>
        <v>0</v>
      </c>
      <c r="I37" s="16">
        <f t="shared" si="17"/>
        <v>0</v>
      </c>
      <c r="J37" s="16">
        <f t="shared" si="17"/>
        <v>13</v>
      </c>
      <c r="K37" s="16">
        <f t="shared" si="17"/>
        <v>1</v>
      </c>
      <c r="L37" s="16">
        <f t="shared" si="17"/>
        <v>147</v>
      </c>
      <c r="M37" s="16">
        <f t="shared" si="17"/>
        <v>1</v>
      </c>
      <c r="N37" s="16">
        <f t="shared" si="17"/>
        <v>0</v>
      </c>
      <c r="O37" s="16">
        <f t="shared" si="17"/>
        <v>0</v>
      </c>
      <c r="P37" s="16">
        <f t="shared" si="17"/>
        <v>4907.3900000000003</v>
      </c>
      <c r="Q37" s="16">
        <f t="shared" si="17"/>
        <v>1</v>
      </c>
      <c r="R37" s="16">
        <f t="shared" si="17"/>
        <v>37</v>
      </c>
      <c r="S37" s="16">
        <f t="shared" si="17"/>
        <v>1</v>
      </c>
      <c r="T37" s="16">
        <f t="shared" si="17"/>
        <v>76</v>
      </c>
      <c r="U37" s="16">
        <f t="shared" si="17"/>
        <v>1</v>
      </c>
      <c r="V37" s="16">
        <f t="shared" si="17"/>
        <v>13</v>
      </c>
      <c r="W37" s="16">
        <f t="shared" si="17"/>
        <v>1</v>
      </c>
      <c r="X37" s="16">
        <f t="shared" si="17"/>
        <v>3518</v>
      </c>
      <c r="Y37" s="16">
        <f t="shared" si="17"/>
        <v>1</v>
      </c>
      <c r="Z37" s="16">
        <f t="shared" si="17"/>
        <v>116</v>
      </c>
      <c r="AA37" s="16">
        <f t="shared" si="17"/>
        <v>1</v>
      </c>
      <c r="AB37" s="16">
        <f t="shared" si="17"/>
        <v>4.5</v>
      </c>
      <c r="AC37" s="16">
        <f t="shared" si="17"/>
        <v>1</v>
      </c>
      <c r="AD37" s="16">
        <f t="shared" si="17"/>
        <v>28105.386178286601</v>
      </c>
      <c r="AE37" s="16">
        <f t="shared" si="17"/>
        <v>1</v>
      </c>
      <c r="AF37" s="16">
        <f t="shared" si="17"/>
        <v>1.6610039514364776</v>
      </c>
      <c r="AG37" s="16">
        <f t="shared" si="17"/>
        <v>1</v>
      </c>
      <c r="AH37" s="16">
        <f t="shared" si="17"/>
        <v>0.32400000000000001</v>
      </c>
    </row>
  </sheetData>
  <sortState xmlns:xlrd2="http://schemas.microsoft.com/office/spreadsheetml/2017/richdata2" ref="A2:A33">
    <sortCondition ref="A2:A33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08F70-7311-4D2E-8345-EC792828FC40}">
  <dimension ref="A1:AG16"/>
  <sheetViews>
    <sheetView zoomScale="102" zoomScaleNormal="102" workbookViewId="0">
      <pane xSplit="1" topLeftCell="AD1" activePane="topRight" state="frozen"/>
      <selection pane="topRight" activeCell="A18" sqref="A18"/>
    </sheetView>
  </sheetViews>
  <sheetFormatPr defaultRowHeight="14.5" x14ac:dyDescent="0.35"/>
  <cols>
    <col min="1" max="1" width="30.81640625" customWidth="1"/>
    <col min="2" max="2" width="27.54296875" customWidth="1"/>
    <col min="3" max="3" width="20.90625" customWidth="1"/>
    <col min="4" max="4" width="35.08984375" customWidth="1"/>
    <col min="5" max="5" width="10.7265625" customWidth="1"/>
    <col min="6" max="7" width="23.54296875" customWidth="1"/>
    <col min="8" max="8" width="36.1796875" customWidth="1"/>
    <col min="9" max="9" width="10.36328125" customWidth="1"/>
    <col min="10" max="10" width="11.6328125" customWidth="1"/>
    <col min="11" max="11" width="10.36328125" hidden="1" customWidth="1"/>
    <col min="12" max="12" width="34.08984375" customWidth="1"/>
    <col min="13" max="13" width="10.36328125" customWidth="1"/>
    <col min="14" max="14" width="20.08984375" customWidth="1"/>
    <col min="15" max="15" width="14.54296875" customWidth="1"/>
    <col min="16" max="16" width="14.36328125" customWidth="1"/>
    <col min="17" max="17" width="10.36328125" customWidth="1"/>
    <col min="18" max="18" width="23.90625" customWidth="1"/>
    <col min="19" max="19" width="10.36328125" customWidth="1"/>
    <col min="20" max="20" width="28.26953125" customWidth="1"/>
    <col min="21" max="21" width="12.1796875" customWidth="1"/>
    <col min="22" max="22" width="25.90625" customWidth="1"/>
    <col min="23" max="23" width="11.36328125" customWidth="1"/>
    <col min="24" max="24" width="19.54296875" customWidth="1"/>
    <col min="25" max="25" width="11.36328125" customWidth="1"/>
    <col min="26" max="26" width="20.90625" customWidth="1"/>
    <col min="27" max="27" width="11.36328125" customWidth="1"/>
    <col min="28" max="28" width="17.1796875" customWidth="1"/>
    <col min="29" max="29" width="11.36328125" customWidth="1"/>
    <col min="30" max="30" width="26.08984375" customWidth="1"/>
    <col min="31" max="33" width="11.36328125" customWidth="1"/>
  </cols>
  <sheetData>
    <row r="1" spans="1:33" s="2" customFormat="1" ht="72.5" x14ac:dyDescent="0.35">
      <c r="A1" s="2" t="s">
        <v>71</v>
      </c>
      <c r="B1" s="2" t="s">
        <v>91</v>
      </c>
      <c r="C1" s="2" t="s">
        <v>113</v>
      </c>
      <c r="D1" s="2" t="s">
        <v>89</v>
      </c>
      <c r="E1" s="2" t="s">
        <v>104</v>
      </c>
      <c r="F1" s="2" t="s">
        <v>34</v>
      </c>
      <c r="G1" s="2" t="s">
        <v>105</v>
      </c>
      <c r="H1" s="2" t="s">
        <v>6</v>
      </c>
      <c r="I1" s="2" t="s">
        <v>114</v>
      </c>
      <c r="J1" s="2" t="s">
        <v>8</v>
      </c>
      <c r="K1" s="2" t="s">
        <v>103</v>
      </c>
      <c r="L1" s="2" t="s">
        <v>35</v>
      </c>
      <c r="M1" s="2" t="s">
        <v>115</v>
      </c>
      <c r="N1" s="2" t="s">
        <v>12</v>
      </c>
      <c r="O1" s="2" t="s">
        <v>116</v>
      </c>
      <c r="P1" s="2" t="s">
        <v>36</v>
      </c>
      <c r="Q1" s="2" t="s">
        <v>117</v>
      </c>
      <c r="R1" s="2" t="s">
        <v>72</v>
      </c>
      <c r="S1" s="2" t="s">
        <v>118</v>
      </c>
      <c r="T1" s="2" t="s">
        <v>19</v>
      </c>
      <c r="U1" s="2" t="s">
        <v>107</v>
      </c>
      <c r="V1" s="2" t="s">
        <v>37</v>
      </c>
      <c r="W1" s="2" t="s">
        <v>108</v>
      </c>
      <c r="X1" s="2" t="s">
        <v>23</v>
      </c>
      <c r="Y1" s="2" t="s">
        <v>109</v>
      </c>
      <c r="Z1" s="2" t="s">
        <v>25</v>
      </c>
      <c r="AA1" s="2" t="s">
        <v>119</v>
      </c>
      <c r="AB1" s="2" t="s">
        <v>28</v>
      </c>
      <c r="AC1" s="2" t="s">
        <v>120</v>
      </c>
      <c r="AD1" s="2" t="s">
        <v>73</v>
      </c>
      <c r="AE1" s="2" t="s">
        <v>121</v>
      </c>
      <c r="AF1" s="2" t="s">
        <v>101</v>
      </c>
      <c r="AG1" s="2" t="s">
        <v>102</v>
      </c>
    </row>
    <row r="2" spans="1:33" x14ac:dyDescent="0.35">
      <c r="A2" t="s">
        <v>82</v>
      </c>
      <c r="B2" s="15">
        <v>1905.73</v>
      </c>
      <c r="C2" s="15">
        <f>1-(Table5[[#This Row],[Council tax cost p/a - 2023/24 ]]-$B$14)/$B$16</f>
        <v>0.22900079212402402</v>
      </c>
      <c r="D2">
        <v>611</v>
      </c>
      <c r="E2">
        <f t="shared" ref="E2:E12" si="0">(D2-$D$14)/$D$16</f>
        <v>0.86969696969696975</v>
      </c>
      <c r="F2">
        <v>128.63</v>
      </c>
      <c r="G2">
        <f t="shared" ref="G2:G12" si="1">1-(F2-$F$14)/$F$16</f>
        <v>0.52958167330677308</v>
      </c>
      <c r="H2" s="10">
        <v>1400</v>
      </c>
      <c r="I2">
        <f t="shared" ref="I2:I12" si="2">(H2-$H$14)/$H$16</f>
        <v>0.40616966580976865</v>
      </c>
      <c r="J2">
        <v>2</v>
      </c>
      <c r="L2">
        <v>167</v>
      </c>
      <c r="M2">
        <f t="shared" ref="M2:M12" si="3">(L2-$L$14)/$L$16</f>
        <v>0.5714285714285714</v>
      </c>
      <c r="N2">
        <v>159</v>
      </c>
      <c r="O2">
        <f t="shared" ref="O2:O12" si="4">(N2-$N$14)/$N$16</f>
        <v>0.79041916167664672</v>
      </c>
      <c r="P2">
        <v>55.5</v>
      </c>
      <c r="Q2">
        <f t="shared" ref="Q2:Q12" si="5">1-(P2-$P$14)/$P$16</f>
        <v>0.77419354838709686</v>
      </c>
      <c r="R2" s="10">
        <v>1037</v>
      </c>
      <c r="S2">
        <f t="shared" ref="S2:S12" si="6">1-(R2-$R$14)/$R$16</f>
        <v>0.8113636363636364</v>
      </c>
      <c r="T2">
        <v>166</v>
      </c>
      <c r="U2">
        <f t="shared" ref="U2:U12" si="7">(T2-$T$14)/$T$16</f>
        <v>0.95541401273885351</v>
      </c>
      <c r="V2">
        <v>339</v>
      </c>
      <c r="W2">
        <f t="shared" ref="W2:W12" si="8">(V2-$V$14)/$V$16</f>
        <v>0.33754740834386854</v>
      </c>
      <c r="X2">
        <v>61</v>
      </c>
      <c r="Y2">
        <f t="shared" ref="Y2:Y12" si="9">(X2-$X$14)/$X$16</f>
        <v>0.97916666666666663</v>
      </c>
      <c r="Z2">
        <v>898</v>
      </c>
      <c r="AA2">
        <f t="shared" ref="AA2:AA12" si="10">(Z2-$Z$14)/$Z$16</f>
        <v>0.82340425531914896</v>
      </c>
      <c r="AB2">
        <v>111</v>
      </c>
      <c r="AC2">
        <f t="shared" ref="AC2:AC12" si="11">(AB2-$AB$14)/$AB$16</f>
        <v>0.73983739837398377</v>
      </c>
      <c r="AD2">
        <v>5</v>
      </c>
      <c r="AE2">
        <f t="shared" ref="AE2:AE12" si="12">1-(AD2-$AD$14)/$AD$16</f>
        <v>0.84126984126984128</v>
      </c>
      <c r="AF2">
        <v>9.6587155353797449</v>
      </c>
      <c r="AG2">
        <v>1</v>
      </c>
    </row>
    <row r="3" spans="1:33" x14ac:dyDescent="0.35">
      <c r="A3" t="s">
        <v>77</v>
      </c>
      <c r="B3" s="15">
        <v>1969.5</v>
      </c>
      <c r="C3" s="15">
        <f>1-(Table5[[#This Row],[Council tax cost p/a - 2023/24 ]]-$B$14)/$B$16</f>
        <v>0.20013579268982695</v>
      </c>
      <c r="D3">
        <v>578</v>
      </c>
      <c r="E3">
        <f t="shared" si="0"/>
        <v>0.76969696969696966</v>
      </c>
      <c r="F3" s="14">
        <v>117.7</v>
      </c>
      <c r="G3" s="14">
        <f t="shared" si="1"/>
        <v>0.63844621513944233</v>
      </c>
      <c r="H3" s="10">
        <v>1398</v>
      </c>
      <c r="I3">
        <f t="shared" si="2"/>
        <v>0.40102827763496146</v>
      </c>
      <c r="J3">
        <v>2</v>
      </c>
      <c r="L3">
        <v>275</v>
      </c>
      <c r="M3">
        <f t="shared" si="3"/>
        <v>1</v>
      </c>
      <c r="N3">
        <v>192</v>
      </c>
      <c r="O3">
        <f t="shared" si="4"/>
        <v>0.9880239520958084</v>
      </c>
      <c r="P3">
        <v>60.3</v>
      </c>
      <c r="Q3">
        <f t="shared" si="5"/>
        <v>0</v>
      </c>
      <c r="R3" s="10">
        <v>1291</v>
      </c>
      <c r="S3">
        <f t="shared" si="6"/>
        <v>0.52272727272727271</v>
      </c>
      <c r="T3">
        <v>173</v>
      </c>
      <c r="U3">
        <f t="shared" si="7"/>
        <v>1</v>
      </c>
      <c r="V3">
        <v>863</v>
      </c>
      <c r="W3">
        <f t="shared" si="8"/>
        <v>1</v>
      </c>
      <c r="X3">
        <v>24</v>
      </c>
      <c r="Y3">
        <f t="shared" si="9"/>
        <v>0.20833333333333334</v>
      </c>
      <c r="Z3" s="10">
        <v>1064</v>
      </c>
      <c r="AA3" s="10">
        <f t="shared" si="10"/>
        <v>1</v>
      </c>
      <c r="AB3">
        <v>47</v>
      </c>
      <c r="AC3">
        <f t="shared" si="11"/>
        <v>0.21951219512195122</v>
      </c>
      <c r="AD3">
        <v>6</v>
      </c>
      <c r="AE3">
        <f t="shared" si="12"/>
        <v>0.52380952380952384</v>
      </c>
      <c r="AF3">
        <v>8.4719074918916117</v>
      </c>
      <c r="AG3">
        <v>2</v>
      </c>
    </row>
    <row r="4" spans="1:33" x14ac:dyDescent="0.35">
      <c r="A4" t="s">
        <v>80</v>
      </c>
      <c r="B4" s="15">
        <v>2161.31</v>
      </c>
      <c r="C4" s="15">
        <f>1-(Table5[[#This Row],[Council tax cost p/a - 2023/24 ]]-$B$14)/$B$16</f>
        <v>0.11331447323752408</v>
      </c>
      <c r="D4">
        <v>462</v>
      </c>
      <c r="E4">
        <f t="shared" si="0"/>
        <v>0.41818181818181815</v>
      </c>
      <c r="F4">
        <v>102.94</v>
      </c>
      <c r="G4">
        <f t="shared" si="1"/>
        <v>0.78545816733067741</v>
      </c>
      <c r="H4" s="10">
        <v>1494</v>
      </c>
      <c r="I4">
        <f t="shared" si="2"/>
        <v>0.6478149100257069</v>
      </c>
      <c r="J4">
        <v>2</v>
      </c>
      <c r="L4">
        <v>258</v>
      </c>
      <c r="M4">
        <f t="shared" si="3"/>
        <v>0.93253968253968256</v>
      </c>
      <c r="N4">
        <v>194</v>
      </c>
      <c r="O4">
        <f t="shared" si="4"/>
        <v>1</v>
      </c>
      <c r="P4">
        <v>54.5</v>
      </c>
      <c r="Q4">
        <f t="shared" si="5"/>
        <v>0.9354838709677421</v>
      </c>
      <c r="R4" s="10">
        <v>871</v>
      </c>
      <c r="S4">
        <f t="shared" si="6"/>
        <v>1</v>
      </c>
      <c r="T4">
        <v>52</v>
      </c>
      <c r="U4">
        <f t="shared" si="7"/>
        <v>0.22929936305732485</v>
      </c>
      <c r="V4">
        <v>153</v>
      </c>
      <c r="W4">
        <f t="shared" si="8"/>
        <v>0.10240202275600506</v>
      </c>
      <c r="X4">
        <v>48</v>
      </c>
      <c r="Y4">
        <f t="shared" si="9"/>
        <v>0.70833333333333337</v>
      </c>
      <c r="Z4">
        <v>357</v>
      </c>
      <c r="AA4">
        <f t="shared" si="10"/>
        <v>0.24787234042553191</v>
      </c>
      <c r="AB4">
        <v>42</v>
      </c>
      <c r="AC4">
        <f t="shared" si="11"/>
        <v>0.17886178861788618</v>
      </c>
      <c r="AD4">
        <v>4.8600000000000003</v>
      </c>
      <c r="AE4">
        <f t="shared" si="12"/>
        <v>0.88571428571428568</v>
      </c>
      <c r="AF4">
        <v>8.1853858737989817</v>
      </c>
      <c r="AG4">
        <v>3</v>
      </c>
    </row>
    <row r="5" spans="1:33" x14ac:dyDescent="0.35">
      <c r="A5" t="s">
        <v>78</v>
      </c>
      <c r="B5" s="15">
        <v>2307.5500000000002</v>
      </c>
      <c r="C5" s="15">
        <f>1-(Table5[[#This Row],[Council tax cost p/a - 2023/24 ]]-$B$14)/$B$16</f>
        <v>4.7120063369921916E-2</v>
      </c>
      <c r="D5">
        <v>518</v>
      </c>
      <c r="E5">
        <f t="shared" si="0"/>
        <v>0.58787878787878789</v>
      </c>
      <c r="F5">
        <v>124.42</v>
      </c>
      <c r="G5">
        <f t="shared" si="1"/>
        <v>0.57151394422310764</v>
      </c>
      <c r="H5" s="10">
        <v>1507</v>
      </c>
      <c r="I5">
        <f t="shared" si="2"/>
        <v>0.68123393316195369</v>
      </c>
      <c r="J5">
        <v>2</v>
      </c>
      <c r="L5">
        <v>182</v>
      </c>
      <c r="M5">
        <f t="shared" si="3"/>
        <v>0.63095238095238093</v>
      </c>
      <c r="N5">
        <v>130</v>
      </c>
      <c r="O5">
        <f t="shared" si="4"/>
        <v>0.61676646706586824</v>
      </c>
      <c r="P5">
        <v>55.9</v>
      </c>
      <c r="Q5">
        <f t="shared" si="5"/>
        <v>0.70967741935483897</v>
      </c>
      <c r="R5" s="10">
        <v>891</v>
      </c>
      <c r="S5">
        <f t="shared" si="6"/>
        <v>0.97727272727272729</v>
      </c>
      <c r="T5">
        <v>60</v>
      </c>
      <c r="U5">
        <f t="shared" si="7"/>
        <v>0.28025477707006369</v>
      </c>
      <c r="V5">
        <v>137</v>
      </c>
      <c r="W5">
        <f t="shared" si="8"/>
        <v>8.2174462705436158E-2</v>
      </c>
      <c r="X5">
        <v>22</v>
      </c>
      <c r="Y5">
        <f t="shared" si="9"/>
        <v>0.16666666666666666</v>
      </c>
      <c r="Z5">
        <v>339</v>
      </c>
      <c r="AA5">
        <f t="shared" si="10"/>
        <v>0.22872340425531915</v>
      </c>
      <c r="AB5">
        <v>143</v>
      </c>
      <c r="AC5">
        <f t="shared" si="11"/>
        <v>1</v>
      </c>
      <c r="AD5">
        <v>5</v>
      </c>
      <c r="AE5">
        <f t="shared" si="12"/>
        <v>0.84126984126984128</v>
      </c>
      <c r="AF5">
        <v>7.4215505411946374</v>
      </c>
      <c r="AG5">
        <v>4</v>
      </c>
    </row>
    <row r="6" spans="1:33" x14ac:dyDescent="0.35">
      <c r="A6" t="s">
        <v>79</v>
      </c>
      <c r="B6" s="15">
        <v>2055.61</v>
      </c>
      <c r="C6" s="15">
        <f>1-(Table5[[#This Row],[Council tax cost p/a - 2023/24 ]]-$B$14)/$B$16</f>
        <v>0.16115876428652254</v>
      </c>
      <c r="D6">
        <v>599</v>
      </c>
      <c r="E6">
        <f t="shared" si="0"/>
        <v>0.83333333333333337</v>
      </c>
      <c r="F6">
        <v>139.97999999999999</v>
      </c>
      <c r="G6">
        <f t="shared" si="1"/>
        <v>0.41653386454183283</v>
      </c>
      <c r="H6" s="10">
        <v>1242</v>
      </c>
      <c r="I6">
        <f t="shared" si="2"/>
        <v>0</v>
      </c>
      <c r="J6">
        <v>2</v>
      </c>
      <c r="L6">
        <v>214</v>
      </c>
      <c r="M6">
        <f t="shared" si="3"/>
        <v>0.75793650793650791</v>
      </c>
      <c r="N6">
        <v>159</v>
      </c>
      <c r="O6">
        <f t="shared" si="4"/>
        <v>0.79041916167664672</v>
      </c>
      <c r="P6">
        <v>56.7</v>
      </c>
      <c r="Q6">
        <f t="shared" si="5"/>
        <v>0.58064516129032206</v>
      </c>
      <c r="R6" s="10">
        <v>1097</v>
      </c>
      <c r="S6">
        <f t="shared" si="6"/>
        <v>0.74318181818181817</v>
      </c>
      <c r="T6">
        <v>74</v>
      </c>
      <c r="U6">
        <f t="shared" si="7"/>
        <v>0.36942675159235666</v>
      </c>
      <c r="V6">
        <v>251</v>
      </c>
      <c r="W6">
        <f t="shared" si="8"/>
        <v>0.22629582806573956</v>
      </c>
      <c r="X6">
        <v>37</v>
      </c>
      <c r="Y6">
        <f t="shared" si="9"/>
        <v>0.47916666666666669</v>
      </c>
      <c r="Z6">
        <v>521</v>
      </c>
      <c r="AA6">
        <f t="shared" si="10"/>
        <v>0.42234042553191492</v>
      </c>
      <c r="AB6">
        <v>20</v>
      </c>
      <c r="AC6">
        <f t="shared" si="11"/>
        <v>0</v>
      </c>
      <c r="AD6">
        <v>4.75</v>
      </c>
      <c r="AE6">
        <f t="shared" si="12"/>
        <v>0.92063492063492069</v>
      </c>
      <c r="AF6">
        <v>6.7012293891759285</v>
      </c>
      <c r="AG6">
        <v>5</v>
      </c>
    </row>
    <row r="7" spans="1:33" x14ac:dyDescent="0.35">
      <c r="A7" t="s">
        <v>81</v>
      </c>
      <c r="B7" s="15">
        <v>2411.65</v>
      </c>
      <c r="C7" s="15">
        <f>1-(Table5[[#This Row],[Council tax cost p/a - 2023/24 ]]-$B$14)/$B$16</f>
        <v>0</v>
      </c>
      <c r="D7">
        <v>338</v>
      </c>
      <c r="E7">
        <f t="shared" si="0"/>
        <v>4.2424242424242427E-2</v>
      </c>
      <c r="F7">
        <v>110.86</v>
      </c>
      <c r="G7">
        <f t="shared" si="1"/>
        <v>0.70657370517928297</v>
      </c>
      <c r="H7" s="10">
        <v>1505</v>
      </c>
      <c r="I7">
        <f t="shared" si="2"/>
        <v>0.67609254498714655</v>
      </c>
      <c r="J7">
        <v>2</v>
      </c>
      <c r="L7">
        <v>202</v>
      </c>
      <c r="M7">
        <f t="shared" si="3"/>
        <v>0.71031746031746035</v>
      </c>
      <c r="N7">
        <v>172</v>
      </c>
      <c r="O7">
        <f t="shared" si="4"/>
        <v>0.86826347305389218</v>
      </c>
      <c r="P7">
        <v>56.9</v>
      </c>
      <c r="Q7">
        <f t="shared" si="5"/>
        <v>0.54838709677419373</v>
      </c>
      <c r="R7" s="10">
        <v>944</v>
      </c>
      <c r="S7">
        <f t="shared" si="6"/>
        <v>0.9170454545454545</v>
      </c>
      <c r="T7">
        <v>16</v>
      </c>
      <c r="U7">
        <f t="shared" si="7"/>
        <v>0</v>
      </c>
      <c r="V7">
        <v>72</v>
      </c>
      <c r="W7">
        <f t="shared" si="8"/>
        <v>0</v>
      </c>
      <c r="X7">
        <v>62</v>
      </c>
      <c r="Y7">
        <f t="shared" si="9"/>
        <v>1</v>
      </c>
      <c r="Z7">
        <v>319</v>
      </c>
      <c r="AA7">
        <f t="shared" si="10"/>
        <v>0.20744680851063829</v>
      </c>
      <c r="AB7">
        <v>34</v>
      </c>
      <c r="AC7">
        <f t="shared" si="11"/>
        <v>0.11382113821138211</v>
      </c>
      <c r="AD7">
        <v>5.0999999999999996</v>
      </c>
      <c r="AE7">
        <f t="shared" si="12"/>
        <v>0.80952380952380965</v>
      </c>
      <c r="AF7">
        <v>6.5998957335275019</v>
      </c>
      <c r="AG7">
        <v>6</v>
      </c>
    </row>
    <row r="8" spans="1:33" x14ac:dyDescent="0.35">
      <c r="A8" t="s">
        <v>84</v>
      </c>
      <c r="B8" s="15">
        <v>2345.2399999999998</v>
      </c>
      <c r="C8" s="15">
        <f>1-(Table5[[#This Row],[Council tax cost p/a - 2023/24 ]]-$B$14)/$B$16</f>
        <v>3.005997510467362E-2</v>
      </c>
      <c r="D8">
        <v>440</v>
      </c>
      <c r="E8">
        <f t="shared" si="0"/>
        <v>0.3515151515151515</v>
      </c>
      <c r="F8">
        <v>130.84</v>
      </c>
      <c r="G8">
        <f t="shared" si="1"/>
        <v>0.50756972111553789</v>
      </c>
      <c r="H8" s="10">
        <v>1631</v>
      </c>
      <c r="I8">
        <f t="shared" si="2"/>
        <v>1</v>
      </c>
      <c r="J8">
        <v>2</v>
      </c>
      <c r="L8">
        <v>96</v>
      </c>
      <c r="M8">
        <f t="shared" si="3"/>
        <v>0.28968253968253971</v>
      </c>
      <c r="N8">
        <v>109</v>
      </c>
      <c r="O8">
        <f t="shared" si="4"/>
        <v>0.49101796407185627</v>
      </c>
      <c r="P8">
        <v>59.5</v>
      </c>
      <c r="Q8">
        <f t="shared" si="5"/>
        <v>0.12903225806451579</v>
      </c>
      <c r="R8" s="10">
        <v>1751</v>
      </c>
      <c r="S8">
        <f t="shared" si="6"/>
        <v>0</v>
      </c>
      <c r="T8">
        <v>52</v>
      </c>
      <c r="U8">
        <f t="shared" si="7"/>
        <v>0.22929936305732485</v>
      </c>
      <c r="V8">
        <v>132</v>
      </c>
      <c r="W8">
        <f t="shared" si="8"/>
        <v>7.5853350189633378E-2</v>
      </c>
      <c r="X8">
        <v>62</v>
      </c>
      <c r="Y8">
        <f t="shared" si="9"/>
        <v>1</v>
      </c>
      <c r="Z8">
        <v>609</v>
      </c>
      <c r="AA8">
        <f t="shared" si="10"/>
        <v>0.51595744680851063</v>
      </c>
      <c r="AB8">
        <v>49</v>
      </c>
      <c r="AC8">
        <f t="shared" si="11"/>
        <v>0.23577235772357724</v>
      </c>
      <c r="AD8">
        <v>6</v>
      </c>
      <c r="AE8">
        <f t="shared" si="12"/>
        <v>0.52380952380952384</v>
      </c>
      <c r="AF8">
        <v>5.3795987834731847</v>
      </c>
      <c r="AG8">
        <v>7</v>
      </c>
    </row>
    <row r="9" spans="1:33" x14ac:dyDescent="0.35">
      <c r="A9" t="s">
        <v>76</v>
      </c>
      <c r="B9" s="15">
        <v>2180.5100000000002</v>
      </c>
      <c r="C9" s="15">
        <f>1-(Table5[[#This Row],[Council tax cost p/a - 2023/24 ]]-$B$14)/$B$16</f>
        <v>0.10462374108860473</v>
      </c>
      <c r="D9">
        <v>362</v>
      </c>
      <c r="E9">
        <f t="shared" si="0"/>
        <v>0.11515151515151516</v>
      </c>
      <c r="F9">
        <v>112.92</v>
      </c>
      <c r="G9">
        <f t="shared" si="1"/>
        <v>0.68605577689243036</v>
      </c>
      <c r="H9" s="10">
        <v>1455</v>
      </c>
      <c r="I9">
        <f t="shared" si="2"/>
        <v>0.54755784061696655</v>
      </c>
      <c r="J9">
        <v>2</v>
      </c>
      <c r="L9">
        <v>70</v>
      </c>
      <c r="M9">
        <f t="shared" si="3"/>
        <v>0.18650793650793651</v>
      </c>
      <c r="N9">
        <v>48</v>
      </c>
      <c r="O9">
        <f t="shared" si="4"/>
        <v>0.12574850299401197</v>
      </c>
      <c r="P9">
        <v>56.7</v>
      </c>
      <c r="Q9">
        <f t="shared" si="5"/>
        <v>0.58064516129032206</v>
      </c>
      <c r="R9" s="10">
        <v>1022</v>
      </c>
      <c r="S9">
        <f t="shared" si="6"/>
        <v>0.82840909090909087</v>
      </c>
      <c r="T9">
        <v>29</v>
      </c>
      <c r="U9">
        <f t="shared" si="7"/>
        <v>8.2802547770700632E-2</v>
      </c>
      <c r="V9">
        <v>90</v>
      </c>
      <c r="W9">
        <f t="shared" si="8"/>
        <v>2.2756005056890013E-2</v>
      </c>
      <c r="X9">
        <v>14</v>
      </c>
      <c r="Y9">
        <f t="shared" si="9"/>
        <v>0</v>
      </c>
      <c r="Z9">
        <v>302</v>
      </c>
      <c r="AA9">
        <f t="shared" si="10"/>
        <v>0.18936170212765957</v>
      </c>
      <c r="AB9">
        <v>118</v>
      </c>
      <c r="AC9">
        <f t="shared" si="11"/>
        <v>0.7967479674796748</v>
      </c>
      <c r="AD9">
        <v>4.5</v>
      </c>
      <c r="AE9">
        <f t="shared" si="12"/>
        <v>1</v>
      </c>
      <c r="AF9">
        <v>5.2664691829593568</v>
      </c>
      <c r="AG9">
        <v>8</v>
      </c>
    </row>
    <row r="10" spans="1:33" x14ac:dyDescent="0.35">
      <c r="A10" t="s">
        <v>83</v>
      </c>
      <c r="B10" s="10">
        <v>2024</v>
      </c>
      <c r="C10" s="10">
        <f>1-(Table5[[#This Row],[Council tax cost p/a - 2023/24 ]]-$B$14)/$B$16</f>
        <v>0.17546678737127985</v>
      </c>
      <c r="D10">
        <v>350</v>
      </c>
      <c r="E10">
        <f t="shared" si="0"/>
        <v>7.8787878787878782E-2</v>
      </c>
      <c r="F10">
        <v>116.95</v>
      </c>
      <c r="G10">
        <f t="shared" si="1"/>
        <v>0.64591633466135456</v>
      </c>
      <c r="H10" s="10">
        <v>1573</v>
      </c>
      <c r="I10">
        <f t="shared" si="2"/>
        <v>0.85089974293059123</v>
      </c>
      <c r="J10">
        <v>2</v>
      </c>
      <c r="L10">
        <v>86</v>
      </c>
      <c r="M10">
        <f t="shared" si="3"/>
        <v>0.25</v>
      </c>
      <c r="N10">
        <v>98</v>
      </c>
      <c r="O10">
        <f t="shared" si="4"/>
        <v>0.42514970059880242</v>
      </c>
      <c r="P10">
        <v>56.9</v>
      </c>
      <c r="Q10">
        <f t="shared" si="5"/>
        <v>0.54838709677419373</v>
      </c>
      <c r="R10" s="10">
        <v>1077</v>
      </c>
      <c r="S10">
        <f t="shared" si="6"/>
        <v>0.76590909090909087</v>
      </c>
      <c r="T10">
        <v>18</v>
      </c>
      <c r="U10">
        <f t="shared" si="7"/>
        <v>1.2738853503184714E-2</v>
      </c>
      <c r="V10">
        <v>98</v>
      </c>
      <c r="W10">
        <f t="shared" si="8"/>
        <v>3.286978508217446E-2</v>
      </c>
      <c r="X10">
        <v>30</v>
      </c>
      <c r="Y10">
        <f t="shared" si="9"/>
        <v>0.33333333333333331</v>
      </c>
      <c r="Z10">
        <v>218</v>
      </c>
      <c r="AA10">
        <f t="shared" si="10"/>
        <v>0.1</v>
      </c>
      <c r="AB10">
        <v>73</v>
      </c>
      <c r="AC10">
        <f t="shared" si="11"/>
        <v>0.43089430894308944</v>
      </c>
      <c r="AD10">
        <v>6</v>
      </c>
      <c r="AE10">
        <f t="shared" si="12"/>
        <v>0.52380952380952384</v>
      </c>
      <c r="AF10">
        <v>5.1743324886222242</v>
      </c>
      <c r="AG10">
        <v>9</v>
      </c>
    </row>
    <row r="11" spans="1:33" x14ac:dyDescent="0.35">
      <c r="A11" t="s">
        <v>75</v>
      </c>
      <c r="B11">
        <f>SUM(B10/10)</f>
        <v>202.4</v>
      </c>
      <c r="C11">
        <f>1-(Table5[[#This Row],[Council tax cost p/a - 2023/24 ]]-$B$14)/$B$16</f>
        <v>1</v>
      </c>
      <c r="D11">
        <v>324</v>
      </c>
      <c r="E11">
        <f t="shared" si="0"/>
        <v>0</v>
      </c>
      <c r="F11" s="14">
        <v>81.400000000000006</v>
      </c>
      <c r="G11" s="14">
        <f t="shared" si="1"/>
        <v>1</v>
      </c>
      <c r="H11" s="10">
        <v>1279</v>
      </c>
      <c r="I11">
        <f t="shared" si="2"/>
        <v>9.5115681233933158E-2</v>
      </c>
      <c r="J11">
        <v>2</v>
      </c>
      <c r="L11">
        <v>23</v>
      </c>
      <c r="M11">
        <f t="shared" si="3"/>
        <v>0</v>
      </c>
      <c r="N11">
        <v>27</v>
      </c>
      <c r="O11">
        <f t="shared" si="4"/>
        <v>0</v>
      </c>
      <c r="P11">
        <v>54.1</v>
      </c>
      <c r="Q11">
        <f t="shared" si="5"/>
        <v>1</v>
      </c>
      <c r="R11" s="10">
        <v>1150</v>
      </c>
      <c r="S11">
        <f t="shared" si="6"/>
        <v>0.68295454545454548</v>
      </c>
      <c r="T11">
        <v>33</v>
      </c>
      <c r="U11">
        <f t="shared" si="7"/>
        <v>0.10828025477707007</v>
      </c>
      <c r="V11">
        <v>165</v>
      </c>
      <c r="W11">
        <f t="shared" si="8"/>
        <v>0.11757269279393173</v>
      </c>
      <c r="X11">
        <v>22</v>
      </c>
      <c r="Y11">
        <f t="shared" si="9"/>
        <v>0.16666666666666666</v>
      </c>
      <c r="Z11">
        <v>124</v>
      </c>
      <c r="AA11">
        <f t="shared" si="10"/>
        <v>0</v>
      </c>
      <c r="AB11">
        <v>20</v>
      </c>
      <c r="AC11">
        <f t="shared" si="11"/>
        <v>0</v>
      </c>
      <c r="AD11">
        <v>5</v>
      </c>
      <c r="AE11">
        <f t="shared" si="12"/>
        <v>0.84126984126984128</v>
      </c>
      <c r="AF11">
        <v>5.011859682195988</v>
      </c>
      <c r="AG11">
        <v>10</v>
      </c>
    </row>
    <row r="12" spans="1:33" x14ac:dyDescent="0.35">
      <c r="A12" t="s">
        <v>74</v>
      </c>
      <c r="B12">
        <v>2045.39</v>
      </c>
      <c r="C12">
        <f>1-(Table5[[#This Row],[Council tax cost p/a - 2023/24 ]]-$B$14)/$B$16</f>
        <v>0.16578476858662439</v>
      </c>
      <c r="D12">
        <v>654</v>
      </c>
      <c r="E12">
        <f t="shared" si="0"/>
        <v>1</v>
      </c>
      <c r="F12" s="14">
        <v>181.8</v>
      </c>
      <c r="G12">
        <f t="shared" si="1"/>
        <v>0</v>
      </c>
      <c r="H12" s="10">
        <v>1290</v>
      </c>
      <c r="I12">
        <f t="shared" si="2"/>
        <v>0.12339331619537275</v>
      </c>
      <c r="J12">
        <v>2</v>
      </c>
      <c r="L12">
        <v>66</v>
      </c>
      <c r="M12">
        <f t="shared" si="3"/>
        <v>0.17063492063492064</v>
      </c>
      <c r="N12">
        <v>66</v>
      </c>
      <c r="O12">
        <f t="shared" si="4"/>
        <v>0.23353293413173654</v>
      </c>
      <c r="P12">
        <v>59</v>
      </c>
      <c r="Q12">
        <f t="shared" si="5"/>
        <v>0.20967741935483841</v>
      </c>
      <c r="R12" s="10">
        <v>1119</v>
      </c>
      <c r="S12">
        <f t="shared" si="6"/>
        <v>0.71818181818181825</v>
      </c>
      <c r="T12">
        <v>30</v>
      </c>
      <c r="U12">
        <f t="shared" si="7"/>
        <v>8.9171974522292988E-2</v>
      </c>
      <c r="V12">
        <v>140</v>
      </c>
      <c r="W12">
        <f t="shared" si="8"/>
        <v>8.5967130214917822E-2</v>
      </c>
      <c r="X12">
        <v>33</v>
      </c>
      <c r="Y12">
        <f t="shared" si="9"/>
        <v>0.39583333333333331</v>
      </c>
      <c r="Z12">
        <v>361</v>
      </c>
      <c r="AA12">
        <f t="shared" si="10"/>
        <v>0.25212765957446809</v>
      </c>
      <c r="AB12">
        <v>107</v>
      </c>
      <c r="AC12">
        <f t="shared" si="11"/>
        <v>0.70731707317073167</v>
      </c>
      <c r="AD12">
        <v>7.65</v>
      </c>
      <c r="AE12">
        <f t="shared" si="12"/>
        <v>0</v>
      </c>
      <c r="AF12">
        <v>4.1517830165851439</v>
      </c>
      <c r="AG12">
        <v>11</v>
      </c>
    </row>
    <row r="14" spans="1:33" hidden="1" x14ac:dyDescent="0.35">
      <c r="A14" t="s">
        <v>98</v>
      </c>
      <c r="B14">
        <f>MIN(Table5[Council tax cost p/a - 2023/24 ])</f>
        <v>202.4</v>
      </c>
      <c r="D14">
        <f>MIN(Table5[Number of child-friendly places to eat ])</f>
        <v>324</v>
      </c>
      <c r="F14">
        <f>MIN(Table5[[Crime rate ]])</f>
        <v>81.400000000000006</v>
      </c>
      <c r="H14">
        <f>MIN(Table5[Total yearly amount of sunshine (hours)])</f>
        <v>1242</v>
      </c>
      <c r="L14">
        <f>MIN(Table5[[Number of indoor and soft play areas ]])</f>
        <v>23</v>
      </c>
      <c r="N14">
        <f>MIN(Table5[Parks &amp; Playgrounds ])</f>
        <v>27</v>
      </c>
      <c r="P14">
        <f>MIN(Table5[[Cost of living ]])</f>
        <v>54.1</v>
      </c>
      <c r="R14">
        <f>MIN(Table5[Average monthly rent (£) ])</f>
        <v>871</v>
      </c>
      <c r="T14">
        <f>MIN(Table5[[Number of secondary schools ]])</f>
        <v>16</v>
      </c>
      <c r="V14">
        <f>MIN(Table5[[Number of primary schools ]])</f>
        <v>72</v>
      </c>
      <c r="X14">
        <f>MIN(Table5[[Number of libraries ]])</f>
        <v>14</v>
      </c>
      <c r="Z14">
        <f>MIN(Table5[[Number of open jobs ]])</f>
        <v>124</v>
      </c>
      <c r="AB14">
        <f>MIN(Table5[[Leisure facilities ]])</f>
        <v>20</v>
      </c>
      <c r="AD14">
        <f>MIN(Table5[Childcare costs (per hour £)])</f>
        <v>4.5</v>
      </c>
    </row>
    <row r="15" spans="1:33" hidden="1" x14ac:dyDescent="0.35">
      <c r="A15" s="3" t="s">
        <v>99</v>
      </c>
      <c r="B15">
        <f>MAX(Table5[Council tax cost p/a - 2023/24 ])</f>
        <v>2411.65</v>
      </c>
      <c r="D15">
        <f>MAX(Table5[Number of child-friendly places to eat ])</f>
        <v>654</v>
      </c>
      <c r="F15" s="14">
        <f>MAX(Table5[[Crime rate ]])</f>
        <v>181.8</v>
      </c>
      <c r="G15" s="8"/>
      <c r="H15">
        <f>MAX(Table5[Total yearly amount of sunshine (hours)])</f>
        <v>1631</v>
      </c>
      <c r="L15">
        <f>MAX(Table5[[Number of indoor and soft play areas ]])</f>
        <v>275</v>
      </c>
      <c r="N15">
        <f>MAX(Table5[Parks &amp; Playgrounds ])</f>
        <v>194</v>
      </c>
      <c r="P15">
        <f>MAX(Table5[[Cost of living ]])</f>
        <v>60.3</v>
      </c>
      <c r="R15">
        <f>MAX(Table5[Average monthly rent (£) ])</f>
        <v>1751</v>
      </c>
      <c r="T15">
        <f>MAX(Table5[[Number of secondary schools ]])</f>
        <v>173</v>
      </c>
      <c r="V15">
        <f>MAX(Table5[[Number of primary schools ]])</f>
        <v>863</v>
      </c>
      <c r="X15">
        <f>MAX(Table5[[Number of libraries ]])</f>
        <v>62</v>
      </c>
      <c r="Z15">
        <f>MAX(Table5[[Number of open jobs ]])</f>
        <v>1064</v>
      </c>
      <c r="AB15">
        <f>MAX(Table5[[Leisure facilities ]])</f>
        <v>143</v>
      </c>
      <c r="AD15">
        <f>MAX(Table5[Childcare costs (per hour £)])</f>
        <v>7.65</v>
      </c>
    </row>
    <row r="16" spans="1:33" hidden="1" x14ac:dyDescent="0.35">
      <c r="A16" t="s">
        <v>100</v>
      </c>
      <c r="B16">
        <f>B15-B14</f>
        <v>2209.25</v>
      </c>
      <c r="D16">
        <f>D15-D14</f>
        <v>330</v>
      </c>
      <c r="F16" s="14">
        <f>F15-F14</f>
        <v>100.4</v>
      </c>
      <c r="G16" s="8"/>
      <c r="H16">
        <f>H15-H14</f>
        <v>389</v>
      </c>
      <c r="L16">
        <f>L15-L14</f>
        <v>252</v>
      </c>
      <c r="N16">
        <f>N15-N14</f>
        <v>167</v>
      </c>
      <c r="P16">
        <f>P15-P14</f>
        <v>6.1999999999999957</v>
      </c>
      <c r="R16">
        <f>R15-R14</f>
        <v>880</v>
      </c>
      <c r="T16">
        <f>T15-T14</f>
        <v>157</v>
      </c>
      <c r="V16">
        <f>V15-V14</f>
        <v>791</v>
      </c>
      <c r="X16">
        <f>X15-X14</f>
        <v>48</v>
      </c>
      <c r="Z16">
        <f>Z15-Z14</f>
        <v>940</v>
      </c>
      <c r="AB16">
        <f>AB15-AB14</f>
        <v>123</v>
      </c>
      <c r="AD16">
        <f>AD15-AD14</f>
        <v>3.1500000000000004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51CF3-A548-4045-881A-B6366EB3C3DA}">
  <dimension ref="A1:D19"/>
  <sheetViews>
    <sheetView tabSelected="1" topLeftCell="A9" zoomScale="93" workbookViewId="0">
      <selection activeCell="B19" sqref="B19"/>
    </sheetView>
  </sheetViews>
  <sheetFormatPr defaultRowHeight="14.5" x14ac:dyDescent="0.35"/>
  <cols>
    <col min="1" max="1" width="39.26953125" customWidth="1"/>
    <col min="2" max="2" width="54.453125" customWidth="1"/>
    <col min="3" max="3" width="33.81640625" customWidth="1"/>
    <col min="4" max="4" width="20.36328125" customWidth="1"/>
  </cols>
  <sheetData>
    <row r="1" spans="1:4" s="5" customFormat="1" x14ac:dyDescent="0.35">
      <c r="A1" s="1" t="s">
        <v>0</v>
      </c>
      <c r="B1" s="1" t="s">
        <v>1</v>
      </c>
      <c r="C1" s="1" t="s">
        <v>2</v>
      </c>
      <c r="D1" s="1" t="s">
        <v>2</v>
      </c>
    </row>
    <row r="2" spans="1:4" ht="58" x14ac:dyDescent="0.35">
      <c r="A2" t="s">
        <v>3</v>
      </c>
      <c r="B2" s="6" t="s">
        <v>4</v>
      </c>
      <c r="C2" s="3" t="s">
        <v>5</v>
      </c>
    </row>
    <row r="3" spans="1:4" x14ac:dyDescent="0.35">
      <c r="A3" t="s">
        <v>6</v>
      </c>
      <c r="B3" s="6" t="s">
        <v>7</v>
      </c>
    </row>
    <row r="4" spans="1:4" ht="43.5" x14ac:dyDescent="0.35">
      <c r="A4" t="s">
        <v>8</v>
      </c>
      <c r="B4" s="7" t="s">
        <v>9</v>
      </c>
      <c r="C4" s="3" t="s">
        <v>10</v>
      </c>
    </row>
    <row r="5" spans="1:4" x14ac:dyDescent="0.35">
      <c r="A5" t="s">
        <v>35</v>
      </c>
      <c r="B5" s="6" t="s">
        <v>11</v>
      </c>
    </row>
    <row r="6" spans="1:4" x14ac:dyDescent="0.35">
      <c r="A6" t="s">
        <v>12</v>
      </c>
      <c r="B6" t="s">
        <v>13</v>
      </c>
    </row>
    <row r="7" spans="1:4" ht="29" x14ac:dyDescent="0.35">
      <c r="A7" t="s">
        <v>14</v>
      </c>
      <c r="B7" s="7" t="s">
        <v>15</v>
      </c>
      <c r="C7" s="3" t="s">
        <v>16</v>
      </c>
    </row>
    <row r="8" spans="1:4" ht="43.5" x14ac:dyDescent="0.35">
      <c r="A8" t="s">
        <v>17</v>
      </c>
      <c r="B8" s="7" t="s">
        <v>18</v>
      </c>
    </row>
    <row r="9" spans="1:4" x14ac:dyDescent="0.35">
      <c r="A9" t="s">
        <v>19</v>
      </c>
      <c r="B9" t="s">
        <v>20</v>
      </c>
    </row>
    <row r="10" spans="1:4" x14ac:dyDescent="0.35">
      <c r="A10" t="s">
        <v>21</v>
      </c>
      <c r="B10" t="s">
        <v>22</v>
      </c>
    </row>
    <row r="11" spans="1:4" x14ac:dyDescent="0.35">
      <c r="A11" t="s">
        <v>23</v>
      </c>
      <c r="B11" t="s">
        <v>24</v>
      </c>
    </row>
    <row r="12" spans="1:4" ht="29" x14ac:dyDescent="0.35">
      <c r="A12" t="s">
        <v>25</v>
      </c>
      <c r="B12" t="s">
        <v>26</v>
      </c>
      <c r="C12" s="3" t="s">
        <v>27</v>
      </c>
    </row>
    <row r="13" spans="1:4" x14ac:dyDescent="0.35">
      <c r="A13" t="s">
        <v>28</v>
      </c>
      <c r="B13" s="13" t="s">
        <v>29</v>
      </c>
    </row>
    <row r="14" spans="1:4" ht="43.5" x14ac:dyDescent="0.35">
      <c r="A14" t="s">
        <v>30</v>
      </c>
      <c r="B14" s="11" t="s">
        <v>31</v>
      </c>
      <c r="C14" s="3" t="s">
        <v>32</v>
      </c>
    </row>
    <row r="15" spans="1:4" ht="72.5" x14ac:dyDescent="0.35">
      <c r="A15" t="s">
        <v>85</v>
      </c>
      <c r="B15" s="3" t="s">
        <v>87</v>
      </c>
      <c r="C15" s="3" t="s">
        <v>92</v>
      </c>
      <c r="D15" s="3" t="s">
        <v>93</v>
      </c>
    </row>
    <row r="16" spans="1:4" x14ac:dyDescent="0.35">
      <c r="A16" t="s">
        <v>89</v>
      </c>
      <c r="B16" s="3" t="s">
        <v>88</v>
      </c>
      <c r="C16" t="s">
        <v>90</v>
      </c>
    </row>
    <row r="17" spans="1:2" x14ac:dyDescent="0.35">
      <c r="A17" t="s">
        <v>125</v>
      </c>
      <c r="B17" t="s">
        <v>128</v>
      </c>
    </row>
    <row r="18" spans="1:2" ht="29" x14ac:dyDescent="0.35">
      <c r="A18" t="s">
        <v>126</v>
      </c>
      <c r="B18" s="3" t="s">
        <v>129</v>
      </c>
    </row>
    <row r="19" spans="1:2" ht="29" x14ac:dyDescent="0.35">
      <c r="A19" t="s">
        <v>127</v>
      </c>
      <c r="B19" s="3" t="s">
        <v>130</v>
      </c>
    </row>
  </sheetData>
  <hyperlinks>
    <hyperlink ref="B7" r:id="rId1" xr:uid="{C141B2DE-FFA6-4392-A424-0ED59E931A3C}"/>
    <hyperlink ref="B3" r:id="rId2" xr:uid="{4C8E526D-FA82-47ED-9116-DB3BB513F842}"/>
    <hyperlink ref="B2" r:id="rId3" xr:uid="{157D14E0-38B9-487F-8DC3-4A9A30BC0DCC}"/>
    <hyperlink ref="B4" r:id="rId4" xr:uid="{ECA09607-85E0-4A1A-9399-9D25E231D989}"/>
    <hyperlink ref="B5" r:id="rId5" xr:uid="{544C2D97-7375-4361-9BC9-F962DC1865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London - full data </vt:lpstr>
      <vt:lpstr>Outside London - full data</vt:lpstr>
      <vt:lpstr>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Josie Middleton</dc:creator>
  <cp:keywords/>
  <dc:description/>
  <cp:lastModifiedBy>Josie Middleton</cp:lastModifiedBy>
  <cp:revision/>
  <dcterms:created xsi:type="dcterms:W3CDTF">2025-01-20T13:47:15Z</dcterms:created>
  <dcterms:modified xsi:type="dcterms:W3CDTF">2025-02-05T16:32:10Z</dcterms:modified>
  <cp:category/>
  <cp:contentStatus/>
</cp:coreProperties>
</file>